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xml" ContentType="application/vnd.openxmlformats-officedocument.spreadsheetml.pivotTable+xml"/>
  <Override PartName="/xl/drawings/drawing9.xml" ContentType="application/vnd.openxmlformats-officedocument.drawing+xml"/>
  <Override PartName="/xl/drawings/drawing10.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1.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charts/chart26.xml" ContentType="application/vnd.openxmlformats-officedocument.drawingml.chart+xml"/>
  <Override PartName="/xl/charts/chart27.xml" ContentType="application/vnd.openxmlformats-officedocument.drawingml.chart+xml"/>
  <Override PartName="/xl/charts/style24.xml" ContentType="application/vnd.ms-office.chartstyle+xml"/>
  <Override PartName="/xl/charts/colors24.xml" ContentType="application/vnd.ms-office.chartcolorstyle+xml"/>
  <Override PartName="/xl/charts/chart28.xml" ContentType="application/vnd.openxmlformats-officedocument.drawingml.chart+xml"/>
  <Override PartName="/xl/charts/style25.xml" ContentType="application/vnd.ms-office.chartstyle+xml"/>
  <Override PartName="/xl/charts/colors25.xml" ContentType="application/vnd.ms-office.chartcolorstyle+xml"/>
  <Override PartName="/xl/charts/chart29.xml" ContentType="application/vnd.openxmlformats-officedocument.drawingml.chart+xml"/>
  <Override PartName="/xl/charts/style26.xml" ContentType="application/vnd.ms-office.chartstyle+xml"/>
  <Override PartName="/xl/charts/colors26.xml" ContentType="application/vnd.ms-office.chartcolorstyle+xml"/>
  <Override PartName="/xl/charts/chart30.xml" ContentType="application/vnd.openxmlformats-officedocument.drawingml.chart+xml"/>
  <Override PartName="/xl/charts/style27.xml" ContentType="application/vnd.ms-office.chartstyle+xml"/>
  <Override PartName="/xl/charts/colors27.xml" ContentType="application/vnd.ms-office.chartcolorstyle+xml"/>
  <Override PartName="/xl/charts/chart31.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Users/georgivandervellleask/Library/CloudStorage/Dropbox/A CHURCH/Ordinand/christian stewardship/DoW/giving in grace/"/>
    </mc:Choice>
  </mc:AlternateContent>
  <xr:revisionPtr revIDLastSave="0" documentId="8_{972D497C-080A-CA4E-96FC-08AA497BE550}" xr6:coauthVersionLast="47" xr6:coauthVersionMax="47" xr10:uidLastSave="{00000000-0000-0000-0000-000000000000}"/>
  <bookViews>
    <workbookView xWindow="4440" yWindow="740" windowWidth="20520" windowHeight="17680" xr2:uid="{2AFF16AD-0EB7-43C5-9141-A70FF9E4A5E3}"/>
  </bookViews>
  <sheets>
    <sheet name="Menu" sheetId="25" r:id="rId1"/>
    <sheet name="1 Start here" sheetId="23" r:id="rId2"/>
    <sheet name="2a Finance history" sheetId="14" r:id="rId3"/>
    <sheet name="2b Giving history" sheetId="15" r:id="rId4"/>
    <sheet name="3a Budget plan" sheetId="10" r:id="rId5"/>
    <sheet name="3b Gift array" sheetId="12" r:id="rId6"/>
    <sheet name="Calculations" sheetId="21" state="hidden" r:id="rId7"/>
    <sheet name="4 Print report" sheetId="24" r:id="rId8"/>
    <sheet name="5 Digging deeper" sheetId="22" r:id="rId9"/>
    <sheet name="5a Report with age bands" sheetId="32" r:id="rId10"/>
    <sheet name="5b Report with restricted funds" sheetId="33" r:id="rId11"/>
  </sheets>
  <definedNames>
    <definedName name="_xlnm._FilterDatabase" localSheetId="3" hidden="1">'2b Giving history'!$B$3:$E$130</definedName>
    <definedName name="AgeBand">'2b Giving history'!$E$4:$E$203</definedName>
    <definedName name="GiftAid">'2b Giving history'!$C$4:$C$203</definedName>
    <definedName name="GiveValue">'2b Giving history'!$B$4:$B$203</definedName>
    <definedName name="HistoryYears">OFFSET('1 Start here'!$C$10,,,COUNTA('1 Start here'!$C$10:$C$13))</definedName>
    <definedName name="Method">'2b Giving history'!$D$4:$D$203</definedName>
    <definedName name="_xlnm.Print_Area" localSheetId="3">'2b Giving history'!$F$40:$J$70</definedName>
    <definedName name="_xlnm.Print_Area" localSheetId="4">'3a Budget plan'!$A$2:$P$47</definedName>
    <definedName name="_xlnm.Print_Area" localSheetId="7">'4 Print report'!$A:$I</definedName>
    <definedName name="_xlnm.Print_Area" localSheetId="9">'5a Report with age bands'!$A:$I</definedName>
    <definedName name="_xlnm.Print_Area" localSheetId="10">'5b Report with restricted funds'!$A:$I</definedName>
    <definedName name="Z_359010A1_0405_4C05_8A51_03FA4E24F244_.wvu.Cols" localSheetId="3" hidden="1">'2b Giving history'!$E:$E</definedName>
    <definedName name="Z_359010A1_0405_4C05_8A51_03FA4E24F244_.wvu.Cols" localSheetId="4" hidden="1">'3a Budget plan'!$O:$O</definedName>
    <definedName name="Z_359010A1_0405_4C05_8A51_03FA4E24F244_.wvu.Cols" localSheetId="5" hidden="1">'3b Gift array'!$G:$J</definedName>
    <definedName name="Z_359010A1_0405_4C05_8A51_03FA4E24F244_.wvu.FilterData" localSheetId="3" hidden="1">'2b Giving history'!$B$3:$E$130</definedName>
    <definedName name="Z_6E4277CF_1161_4602_99B2_7466BE4F7FEC_.wvu.Cols" localSheetId="2" hidden="1">'2a Finance history'!$F:$G,'2a Finance history'!$N:$O,'2a Finance history'!$R:$S</definedName>
    <definedName name="Z_6E4277CF_1161_4602_99B2_7466BE4F7FEC_.wvu.Cols" localSheetId="3" hidden="1">'2b Giving history'!$E:$E</definedName>
    <definedName name="Z_6E4277CF_1161_4602_99B2_7466BE4F7FEC_.wvu.Cols" localSheetId="4" hidden="1">'3a Budget plan'!$O:$O</definedName>
    <definedName name="Z_6E4277CF_1161_4602_99B2_7466BE4F7FEC_.wvu.Cols" localSheetId="5" hidden="1">'3b Gift array'!$G:$J</definedName>
    <definedName name="Z_6E4277CF_1161_4602_99B2_7466BE4F7FEC_.wvu.FilterData" localSheetId="3" hidden="1">'2b Giving history'!$B$3:$E$130</definedName>
  </definedNames>
  <calcPr calcId="191028" iterate="1"/>
  <customWorkbookViews>
    <customWorkbookView name="Include Restricted" guid="{359010A1-0405-4C05-8A51-03FA4E24F244}" includePrintSettings="0" maximized="1" xWindow="1911" yWindow="-1" windowWidth="1938" windowHeight="1038" tabRatio="682" activeSheetId="14" showFormulaBar="0"/>
    <customWorkbookView name="Unrestricted only" guid="{6E4277CF-1161-4602-99B2-7466BE4F7FEC}" includePrintSettings="0" maximized="1" xWindow="1911" yWindow="-1" windowWidth="1938" windowHeight="1038" tabRatio="682" activeSheetId="14" showFormulaBar="0"/>
  </customWorkbookViews>
  <pivotCaches>
    <pivotCache cacheId="4"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2" l="1"/>
  <c r="G34" i="22"/>
  <c r="G35" i="22"/>
  <c r="G32" i="22"/>
  <c r="I31" i="22"/>
  <c r="H31" i="22"/>
  <c r="C8" i="22"/>
  <c r="D8" i="22"/>
  <c r="B21" i="21"/>
  <c r="B22" i="21" s="1"/>
  <c r="B23" i="21" s="1"/>
  <c r="B24" i="21" s="1"/>
  <c r="B25" i="21" s="1"/>
  <c r="B26" i="21" s="1"/>
  <c r="B27" i="21" s="1"/>
  <c r="B28" i="21" s="1"/>
  <c r="B29" i="21" s="1"/>
  <c r="B30" i="21" s="1"/>
  <c r="B31" i="21" s="1"/>
  <c r="B32" i="21" s="1"/>
  <c r="B33" i="21" s="1"/>
  <c r="B34" i="21" s="1"/>
  <c r="B35" i="21" s="1"/>
  <c r="B36" i="21" s="1"/>
  <c r="B37" i="21" s="1"/>
  <c r="B38" i="21" s="1"/>
  <c r="B39" i="21" s="1"/>
  <c r="B40" i="21" s="1"/>
  <c r="H48" i="21"/>
  <c r="H49" i="21"/>
  <c r="H50" i="21"/>
  <c r="H47" i="21"/>
  <c r="G21" i="33"/>
  <c r="G20" i="33"/>
  <c r="F21" i="33"/>
  <c r="F20" i="33"/>
  <c r="E21" i="33"/>
  <c r="E20" i="33"/>
  <c r="D21" i="33"/>
  <c r="D20" i="33"/>
  <c r="J58" i="21"/>
  <c r="J59" i="21"/>
  <c r="J60" i="21"/>
  <c r="J61" i="21"/>
  <c r="I61" i="21"/>
  <c r="I60" i="21"/>
  <c r="I59" i="21"/>
  <c r="I58" i="21"/>
  <c r="H59" i="21"/>
  <c r="H60" i="21"/>
  <c r="H61" i="21"/>
  <c r="H58" i="21"/>
  <c r="B62" i="21"/>
  <c r="B65" i="21"/>
  <c r="B68" i="21"/>
  <c r="B59" i="21"/>
  <c r="B54" i="21"/>
  <c r="B53" i="21"/>
  <c r="B52" i="21"/>
  <c r="B51" i="21"/>
  <c r="B48" i="21"/>
  <c r="B47" i="21"/>
  <c r="B46" i="21"/>
  <c r="B45" i="21"/>
  <c r="G114" i="32"/>
  <c r="C112" i="32"/>
  <c r="C111" i="32"/>
  <c r="A110" i="32"/>
  <c r="G99" i="24"/>
  <c r="C97" i="24"/>
  <c r="C96" i="24"/>
  <c r="A95" i="24"/>
  <c r="I112" i="32"/>
  <c r="I111" i="32"/>
  <c r="G99" i="33"/>
  <c r="I97" i="33"/>
  <c r="C97" i="33"/>
  <c r="I96" i="33"/>
  <c r="C96" i="33"/>
  <c r="A95" i="33"/>
  <c r="I90" i="33"/>
  <c r="G90" i="33"/>
  <c r="F90" i="33" a="1"/>
  <c r="F90" i="33" s="1"/>
  <c r="C90" i="33"/>
  <c r="I89" i="33"/>
  <c r="G89" i="33"/>
  <c r="F89" i="33" a="1"/>
  <c r="F89" i="33" s="1"/>
  <c r="C89" i="33"/>
  <c r="I88" i="33"/>
  <c r="G88" i="33"/>
  <c r="C88" i="33"/>
  <c r="I87" i="33"/>
  <c r="G87" i="33"/>
  <c r="I86" i="33"/>
  <c r="G86" i="33"/>
  <c r="I85" i="33"/>
  <c r="G85" i="33"/>
  <c r="I84" i="33"/>
  <c r="G84" i="33"/>
  <c r="I83" i="33"/>
  <c r="G83" i="33"/>
  <c r="I82" i="33"/>
  <c r="G82" i="33"/>
  <c r="I81" i="33"/>
  <c r="G81" i="33"/>
  <c r="I80" i="33"/>
  <c r="G80" i="33"/>
  <c r="I79" i="33"/>
  <c r="G79" i="33"/>
  <c r="I78" i="33"/>
  <c r="G78" i="33"/>
  <c r="I77" i="33"/>
  <c r="G77" i="33"/>
  <c r="I76" i="33"/>
  <c r="G76" i="33"/>
  <c r="I75" i="33"/>
  <c r="G75" i="33"/>
  <c r="I74" i="33"/>
  <c r="G74" i="33"/>
  <c r="I70" i="33"/>
  <c r="G70" i="33"/>
  <c r="I69" i="33"/>
  <c r="G69" i="33"/>
  <c r="I68" i="33"/>
  <c r="G68" i="33"/>
  <c r="I67" i="33"/>
  <c r="G67" i="33"/>
  <c r="I66" i="33"/>
  <c r="G66" i="33"/>
  <c r="I65" i="33"/>
  <c r="G65" i="33"/>
  <c r="I64" i="33"/>
  <c r="G64" i="33"/>
  <c r="I63" i="33"/>
  <c r="G63" i="33"/>
  <c r="I62" i="33"/>
  <c r="G62" i="33"/>
  <c r="I61" i="33"/>
  <c r="G61" i="33"/>
  <c r="I60" i="33"/>
  <c r="G60" i="33"/>
  <c r="I59" i="33"/>
  <c r="G59" i="33"/>
  <c r="I58" i="33"/>
  <c r="G58" i="33"/>
  <c r="C105" i="32"/>
  <c r="C104" i="32"/>
  <c r="C103" i="32"/>
  <c r="C90" i="24"/>
  <c r="C89" i="24"/>
  <c r="C88" i="24"/>
  <c r="I105" i="32"/>
  <c r="G105" i="32"/>
  <c r="F105" i="32" a="1"/>
  <c r="F105" i="32" s="1"/>
  <c r="I104" i="32"/>
  <c r="G104" i="32"/>
  <c r="F104" i="32" a="1"/>
  <c r="F104" i="32" s="1"/>
  <c r="I103" i="32"/>
  <c r="G103" i="32"/>
  <c r="F103" i="32" a="1"/>
  <c r="F103" i="32" s="1"/>
  <c r="I102" i="32"/>
  <c r="G102" i="32"/>
  <c r="F102" i="32" a="1"/>
  <c r="F102" i="32" s="1"/>
  <c r="I101" i="32"/>
  <c r="G101" i="32"/>
  <c r="F101" i="32" a="1"/>
  <c r="F101" i="32" s="1"/>
  <c r="I100" i="32"/>
  <c r="G100" i="32"/>
  <c r="I99" i="32"/>
  <c r="G99" i="32"/>
  <c r="F99" i="32" a="1"/>
  <c r="F99" i="32" s="1"/>
  <c r="I98" i="32"/>
  <c r="G98" i="32"/>
  <c r="F98" i="32" a="1"/>
  <c r="F98" i="32" s="1"/>
  <c r="I97" i="32"/>
  <c r="G97" i="32"/>
  <c r="F97" i="32" a="1"/>
  <c r="F97" i="32" s="1"/>
  <c r="I96" i="32"/>
  <c r="G96" i="32"/>
  <c r="F96" i="32" a="1"/>
  <c r="F96" i="32" s="1"/>
  <c r="I95" i="32"/>
  <c r="G95" i="32"/>
  <c r="I94" i="32"/>
  <c r="G94" i="32"/>
  <c r="I93" i="32"/>
  <c r="G93" i="32"/>
  <c r="F93" i="32" a="1"/>
  <c r="F93" i="32" s="1"/>
  <c r="I92" i="32"/>
  <c r="G92" i="32"/>
  <c r="F92" i="32" a="1"/>
  <c r="F92" i="32" s="1"/>
  <c r="I91" i="32"/>
  <c r="G91" i="32"/>
  <c r="F91" i="32" a="1"/>
  <c r="F91" i="32" s="1"/>
  <c r="I90" i="32"/>
  <c r="G90" i="32"/>
  <c r="F90" i="32" a="1"/>
  <c r="F90" i="32" s="1"/>
  <c r="I89" i="32"/>
  <c r="G89" i="32"/>
  <c r="F89" i="32" a="1"/>
  <c r="F89" i="32" s="1"/>
  <c r="I85" i="32"/>
  <c r="G85" i="32"/>
  <c r="I79" i="32"/>
  <c r="G79" i="32"/>
  <c r="I78" i="32"/>
  <c r="G78" i="32"/>
  <c r="I77" i="32"/>
  <c r="G77" i="32"/>
  <c r="I84" i="32"/>
  <c r="G84" i="32"/>
  <c r="I83" i="32"/>
  <c r="G83" i="32"/>
  <c r="I82" i="32"/>
  <c r="G82" i="32"/>
  <c r="I81" i="32"/>
  <c r="G81" i="32"/>
  <c r="I80" i="32"/>
  <c r="G80" i="32"/>
  <c r="I76" i="32"/>
  <c r="G76" i="32"/>
  <c r="I75" i="32"/>
  <c r="G75" i="32"/>
  <c r="I74" i="32"/>
  <c r="G74" i="32"/>
  <c r="I73" i="32"/>
  <c r="G73" i="32"/>
  <c r="I97" i="24"/>
  <c r="I96" i="24"/>
  <c r="I90" i="24"/>
  <c r="I89" i="24"/>
  <c r="I88" i="24"/>
  <c r="I87" i="24"/>
  <c r="I86" i="24"/>
  <c r="I85" i="24"/>
  <c r="I84" i="24"/>
  <c r="I83" i="24"/>
  <c r="I82" i="24"/>
  <c r="I81" i="24"/>
  <c r="I80" i="24"/>
  <c r="I79" i="24"/>
  <c r="I78" i="24"/>
  <c r="I77" i="24"/>
  <c r="I76" i="24"/>
  <c r="I75" i="24"/>
  <c r="I74" i="24"/>
  <c r="G90" i="24"/>
  <c r="G89" i="24"/>
  <c r="G88" i="24"/>
  <c r="G87" i="24"/>
  <c r="G86" i="24"/>
  <c r="G85" i="24"/>
  <c r="G84" i="24"/>
  <c r="G83" i="24"/>
  <c r="G82" i="24"/>
  <c r="G81" i="24"/>
  <c r="G80" i="24"/>
  <c r="G79" i="24"/>
  <c r="G78" i="24"/>
  <c r="G77" i="24"/>
  <c r="G76" i="24"/>
  <c r="G75" i="24"/>
  <c r="G74" i="24"/>
  <c r="I70" i="24"/>
  <c r="I69" i="24"/>
  <c r="I68" i="24"/>
  <c r="I67" i="24"/>
  <c r="I66" i="24"/>
  <c r="I65" i="24"/>
  <c r="I64" i="24"/>
  <c r="I63" i="24"/>
  <c r="I62" i="24"/>
  <c r="I61" i="24"/>
  <c r="I60" i="24"/>
  <c r="I59" i="24"/>
  <c r="G70" i="24"/>
  <c r="G69" i="24"/>
  <c r="G68" i="24"/>
  <c r="G67" i="24"/>
  <c r="G66" i="24"/>
  <c r="G65" i="24"/>
  <c r="G64" i="24"/>
  <c r="G63" i="24"/>
  <c r="G62" i="24"/>
  <c r="G61" i="24"/>
  <c r="G60" i="24"/>
  <c r="G59" i="24"/>
  <c r="F90" i="24" a="1"/>
  <c r="F90" i="24" s="1"/>
  <c r="F89" i="24" a="1"/>
  <c r="F89" i="24" s="1"/>
  <c r="G2" i="10"/>
  <c r="I58" i="24"/>
  <c r="G58" i="24"/>
  <c r="G47" i="33"/>
  <c r="I47" i="33" s="1"/>
  <c r="B47" i="33"/>
  <c r="G62" i="32"/>
  <c r="I62" i="32" s="1"/>
  <c r="G47" i="24"/>
  <c r="I47" i="24" s="1"/>
  <c r="B63" i="32"/>
  <c r="B62" i="32"/>
  <c r="B61" i="32"/>
  <c r="E19" i="33"/>
  <c r="F12" i="33" a="1"/>
  <c r="F12" i="33" s="1"/>
  <c r="E8" i="33"/>
  <c r="G20" i="32"/>
  <c r="F20" i="32"/>
  <c r="E20" i="32"/>
  <c r="G19" i="32"/>
  <c r="F19" i="32"/>
  <c r="E19" i="32"/>
  <c r="F12" i="32" a="1"/>
  <c r="F12" i="32" s="1"/>
  <c r="G8" i="32"/>
  <c r="F8" i="32"/>
  <c r="E8" i="32"/>
  <c r="D8" i="32"/>
  <c r="A5" i="32" s="1" a="1"/>
  <c r="A5" i="32" s="1"/>
  <c r="E20" i="24"/>
  <c r="E19" i="24"/>
  <c r="F12" i="24" a="1"/>
  <c r="F12" i="24" s="1"/>
  <c r="E8" i="24"/>
  <c r="I2" i="14"/>
  <c r="K2" i="14" s="1"/>
  <c r="K44" i="14"/>
  <c r="K43" i="14"/>
  <c r="J38" i="14"/>
  <c r="F63" i="21" s="1"/>
  <c r="I38" i="14"/>
  <c r="K36" i="14"/>
  <c r="G35" i="10" s="1"/>
  <c r="K35" i="14"/>
  <c r="G34" i="10" s="1"/>
  <c r="K34" i="14"/>
  <c r="G33" i="10" s="1"/>
  <c r="K33" i="14"/>
  <c r="G32" i="10" s="1"/>
  <c r="K32" i="14"/>
  <c r="G31" i="10" s="1"/>
  <c r="K31" i="14"/>
  <c r="G30" i="10" s="1"/>
  <c r="K30" i="14"/>
  <c r="G29" i="10" s="1"/>
  <c r="K29" i="14"/>
  <c r="G28" i="10" s="1"/>
  <c r="K28" i="14"/>
  <c r="G27" i="10" s="1"/>
  <c r="K27" i="14"/>
  <c r="G26" i="10" s="1"/>
  <c r="K26" i="14"/>
  <c r="G25" i="10" s="1"/>
  <c r="K25" i="14"/>
  <c r="G24" i="10" s="1"/>
  <c r="K24" i="14"/>
  <c r="G23" i="10" s="1"/>
  <c r="K23" i="14"/>
  <c r="G22" i="10" s="1"/>
  <c r="K22" i="14"/>
  <c r="G21" i="10" s="1"/>
  <c r="J19" i="14"/>
  <c r="I19" i="14"/>
  <c r="K17" i="14"/>
  <c r="G17" i="10" s="1"/>
  <c r="K16" i="14"/>
  <c r="G16" i="10" s="1"/>
  <c r="K15" i="14"/>
  <c r="G15" i="10" s="1"/>
  <c r="K14" i="14"/>
  <c r="G14" i="10" s="1"/>
  <c r="K13" i="14"/>
  <c r="G13" i="10" s="1"/>
  <c r="K12" i="14"/>
  <c r="G12" i="10" s="1"/>
  <c r="K11" i="14"/>
  <c r="G11" i="10" s="1"/>
  <c r="K10" i="14"/>
  <c r="G10" i="10" s="1"/>
  <c r="K9" i="14"/>
  <c r="G9" i="10" s="1"/>
  <c r="K8" i="14"/>
  <c r="G8" i="10" s="1"/>
  <c r="K7" i="14"/>
  <c r="G7" i="10" s="1"/>
  <c r="K6" i="14"/>
  <c r="G6" i="10" s="1"/>
  <c r="K5" i="14"/>
  <c r="D6" i="12"/>
  <c r="D5" i="12"/>
  <c r="D4" i="12"/>
  <c r="AI2" i="21" a="1"/>
  <c r="AG1" i="21" a="1"/>
  <c r="AG1" i="21" s="1"/>
  <c r="AF1" i="21" a="1"/>
  <c r="AF1" i="21" s="1"/>
  <c r="AC1" i="21" a="1"/>
  <c r="AC1" i="21" s="1"/>
  <c r="AD1" i="21" a="1"/>
  <c r="AD1" i="21" s="1"/>
  <c r="AH2" i="21" a="1"/>
  <c r="Q2" i="14"/>
  <c r="I48" i="21" l="1"/>
  <c r="I106" i="32"/>
  <c r="I91" i="24"/>
  <c r="I71" i="33"/>
  <c r="G106" i="32"/>
  <c r="G71" i="33"/>
  <c r="G71" i="24"/>
  <c r="AI2" i="21"/>
  <c r="M15" i="21" s="1"/>
  <c r="D12" i="22" s="1"/>
  <c r="G91" i="24"/>
  <c r="E63" i="21"/>
  <c r="E10" i="32"/>
  <c r="E10" i="24"/>
  <c r="I40" i="14"/>
  <c r="C62" i="21"/>
  <c r="E9" i="32"/>
  <c r="E9" i="24"/>
  <c r="K38" i="14"/>
  <c r="E10" i="33" s="1"/>
  <c r="G38" i="10"/>
  <c r="J40" i="14"/>
  <c r="D62" i="21"/>
  <c r="K19" i="14"/>
  <c r="G5" i="10"/>
  <c r="G18" i="10" s="1"/>
  <c r="AH2" i="21"/>
  <c r="I86" i="32"/>
  <c r="I108" i="32" s="1"/>
  <c r="I114" i="32" s="1"/>
  <c r="G86" i="32"/>
  <c r="I91" i="33"/>
  <c r="G91" i="33"/>
  <c r="I71" i="24"/>
  <c r="F109" i="33"/>
  <c r="E109" i="33"/>
  <c r="D109" i="33"/>
  <c r="C109" i="33"/>
  <c r="A105" i="33"/>
  <c r="G19" i="33"/>
  <c r="F19" i="33"/>
  <c r="D19" i="33"/>
  <c r="G8" i="33"/>
  <c r="F8" i="33"/>
  <c r="D8" i="33"/>
  <c r="A5" i="33" s="1" a="1"/>
  <c r="A5" i="33" s="1"/>
  <c r="A1" i="33"/>
  <c r="C48" i="32"/>
  <c r="C49" i="32"/>
  <c r="C47" i="32"/>
  <c r="C46" i="32"/>
  <c r="F124" i="32"/>
  <c r="E124" i="32"/>
  <c r="D124" i="32"/>
  <c r="C124" i="32"/>
  <c r="A120" i="32"/>
  <c r="D20" i="32"/>
  <c r="D19" i="32"/>
  <c r="A1" i="32"/>
  <c r="B47" i="24"/>
  <c r="G20" i="24"/>
  <c r="F20" i="24"/>
  <c r="D20" i="24"/>
  <c r="K18" i="10"/>
  <c r="J18" i="10"/>
  <c r="B16" i="10"/>
  <c r="B17" i="10"/>
  <c r="B9" i="10"/>
  <c r="B10" i="10"/>
  <c r="B11" i="10"/>
  <c r="B12" i="10"/>
  <c r="B13" i="10"/>
  <c r="B14" i="10"/>
  <c r="B15" i="10"/>
  <c r="B6" i="10"/>
  <c r="B7" i="10"/>
  <c r="B8" i="10"/>
  <c r="B5" i="10"/>
  <c r="J38" i="10"/>
  <c r="B29" i="10"/>
  <c r="B30" i="10"/>
  <c r="B31" i="10"/>
  <c r="B32" i="10"/>
  <c r="B33" i="10"/>
  <c r="B34" i="10"/>
  <c r="B22" i="10"/>
  <c r="B23" i="10"/>
  <c r="B24" i="10"/>
  <c r="B25" i="10"/>
  <c r="B26" i="10"/>
  <c r="B27" i="10"/>
  <c r="B28" i="10"/>
  <c r="B21" i="10"/>
  <c r="L13" i="15"/>
  <c r="D2" i="15"/>
  <c r="A105" i="24"/>
  <c r="F109" i="24"/>
  <c r="E109" i="24"/>
  <c r="D109" i="24"/>
  <c r="C109" i="24"/>
  <c r="G19" i="24"/>
  <c r="F19" i="24"/>
  <c r="D19" i="24"/>
  <c r="G8" i="24"/>
  <c r="F8" i="24"/>
  <c r="D8" i="24"/>
  <c r="A5" i="24" s="1" a="1"/>
  <c r="A5" i="24" s="1"/>
  <c r="M2" i="14"/>
  <c r="B11" i="12"/>
  <c r="C112" i="24" s="1"/>
  <c r="B12" i="12"/>
  <c r="I12" i="12" s="1"/>
  <c r="B13" i="12"/>
  <c r="I13" i="12" s="1"/>
  <c r="B14" i="12"/>
  <c r="I14" i="12" s="1"/>
  <c r="B15" i="12"/>
  <c r="C116" i="24" s="1"/>
  <c r="B10" i="12"/>
  <c r="C111" i="24" s="1"/>
  <c r="S35" i="14"/>
  <c r="I34" i="10" s="1"/>
  <c r="O35" i="14"/>
  <c r="H34" i="10" s="1"/>
  <c r="G35" i="14"/>
  <c r="F34" i="10" s="1"/>
  <c r="E16" i="21"/>
  <c r="I93" i="24" l="1"/>
  <c r="I99" i="24" s="1"/>
  <c r="I93" i="33"/>
  <c r="I99" i="33" s="1"/>
  <c r="G108" i="32"/>
  <c r="G93" i="33"/>
  <c r="G93" i="24"/>
  <c r="F87" i="33" a="1"/>
  <c r="F87" i="33" s="1"/>
  <c r="F87" i="24" a="1"/>
  <c r="F87" i="24" s="1"/>
  <c r="E11" i="32"/>
  <c r="E11" i="24"/>
  <c r="G40" i="10"/>
  <c r="C69" i="24"/>
  <c r="C79" i="32"/>
  <c r="C69" i="33"/>
  <c r="C70" i="33"/>
  <c r="C85" i="32"/>
  <c r="C70" i="24"/>
  <c r="C75" i="32"/>
  <c r="C60" i="24"/>
  <c r="C60" i="33"/>
  <c r="C76" i="32"/>
  <c r="C61" i="24"/>
  <c r="C61" i="33"/>
  <c r="C64" i="24"/>
  <c r="C82" i="32"/>
  <c r="C64" i="33"/>
  <c r="C65" i="24"/>
  <c r="C65" i="33"/>
  <c r="C83" i="32"/>
  <c r="C66" i="24"/>
  <c r="C84" i="32"/>
  <c r="C66" i="33"/>
  <c r="C67" i="24"/>
  <c r="C77" i="32"/>
  <c r="C67" i="33"/>
  <c r="C68" i="33"/>
  <c r="C78" i="32"/>
  <c r="C68" i="24"/>
  <c r="C74" i="32"/>
  <c r="C59" i="24"/>
  <c r="C59" i="33"/>
  <c r="C62" i="24"/>
  <c r="C80" i="32"/>
  <c r="C62" i="33"/>
  <c r="C81" i="32"/>
  <c r="C63" i="33"/>
  <c r="C63" i="24"/>
  <c r="C58" i="33"/>
  <c r="C58" i="24"/>
  <c r="C73" i="32"/>
  <c r="C98" i="32"/>
  <c r="C83" i="24"/>
  <c r="C83" i="33"/>
  <c r="C84" i="33"/>
  <c r="C99" i="32"/>
  <c r="C84" i="24"/>
  <c r="C93" i="32"/>
  <c r="C78" i="33"/>
  <c r="C78" i="24"/>
  <c r="C100" i="32"/>
  <c r="C85" i="24"/>
  <c r="C85" i="33"/>
  <c r="C86" i="24"/>
  <c r="C101" i="32"/>
  <c r="C86" i="33"/>
  <c r="C102" i="32"/>
  <c r="C87" i="24"/>
  <c r="C87" i="33"/>
  <c r="C75" i="24"/>
  <c r="C90" i="32"/>
  <c r="C75" i="33"/>
  <c r="C94" i="32"/>
  <c r="C79" i="24"/>
  <c r="C79" i="33"/>
  <c r="C76" i="24"/>
  <c r="C91" i="32"/>
  <c r="C76" i="33"/>
  <c r="C95" i="32"/>
  <c r="C80" i="24"/>
  <c r="C80" i="33"/>
  <c r="C77" i="24"/>
  <c r="C92" i="32"/>
  <c r="C77" i="33"/>
  <c r="C96" i="32"/>
  <c r="C81" i="24"/>
  <c r="C81" i="33"/>
  <c r="C82" i="33"/>
  <c r="C82" i="24"/>
  <c r="C97" i="32"/>
  <c r="C74" i="24"/>
  <c r="C89" i="32"/>
  <c r="C74" i="33"/>
  <c r="B28" i="33"/>
  <c r="B28" i="32"/>
  <c r="B28" i="24"/>
  <c r="E9" i="33"/>
  <c r="K40" i="14"/>
  <c r="E11" i="33" s="1"/>
  <c r="B31" i="24"/>
  <c r="B31" i="33"/>
  <c r="B31" i="32"/>
  <c r="G45" i="33"/>
  <c r="I45" i="33" s="1"/>
  <c r="G60" i="32"/>
  <c r="I60" i="32" s="1"/>
  <c r="G45" i="24"/>
  <c r="I45" i="24" s="1"/>
  <c r="AE1" i="21" a="1"/>
  <c r="C127" i="32"/>
  <c r="C114" i="33"/>
  <c r="C130" i="32"/>
  <c r="C115" i="33"/>
  <c r="C131" i="32"/>
  <c r="C116" i="33"/>
  <c r="C111" i="33"/>
  <c r="C112" i="33"/>
  <c r="C113" i="33"/>
  <c r="C126" i="32"/>
  <c r="C128" i="32"/>
  <c r="C129" i="32"/>
  <c r="I16" i="21"/>
  <c r="I15" i="12"/>
  <c r="I11" i="12"/>
  <c r="C113" i="24"/>
  <c r="C114" i="24"/>
  <c r="C115" i="24"/>
  <c r="B9" i="12"/>
  <c r="I10" i="12"/>
  <c r="L39" i="21"/>
  <c r="M20" i="21"/>
  <c r="L29" i="21"/>
  <c r="L38" i="21"/>
  <c r="M22" i="21"/>
  <c r="M32" i="21"/>
  <c r="M41" i="21"/>
  <c r="M21" i="21"/>
  <c r="L32" i="21"/>
  <c r="L41" i="21"/>
  <c r="L20" i="21"/>
  <c r="G46" i="32" s="1"/>
  <c r="O20" i="21" a="1"/>
  <c r="O20" i="21" s="1"/>
  <c r="M31" i="21"/>
  <c r="M40" i="21"/>
  <c r="L21" i="21"/>
  <c r="O23" i="21" a="1"/>
  <c r="O23" i="21" s="1"/>
  <c r="L31" i="21"/>
  <c r="L40" i="21"/>
  <c r="L22" i="21"/>
  <c r="O22" i="21" a="1"/>
  <c r="O22" i="21" s="1"/>
  <c r="M30" i="21"/>
  <c r="M39" i="21"/>
  <c r="M23" i="21"/>
  <c r="M29" i="21"/>
  <c r="M38" i="21"/>
  <c r="L23" i="21"/>
  <c r="O21" i="21" a="1"/>
  <c r="O21" i="21" s="1"/>
  <c r="L30" i="21"/>
  <c r="E15" i="21"/>
  <c r="E12" i="22" s="1"/>
  <c r="I15" i="21"/>
  <c r="C12" i="22" s="1"/>
  <c r="M16" i="21"/>
  <c r="H33" i="22" l="1"/>
  <c r="B32" i="32"/>
  <c r="AE1" i="21"/>
  <c r="I35" i="22"/>
  <c r="H35" i="22"/>
  <c r="I34" i="22"/>
  <c r="H34" i="22"/>
  <c r="I32" i="22"/>
  <c r="H32" i="22"/>
  <c r="J32" i="22"/>
  <c r="I33" i="22"/>
  <c r="G49" i="32"/>
  <c r="J35" i="22"/>
  <c r="G48" i="32"/>
  <c r="J34" i="22"/>
  <c r="G47" i="32"/>
  <c r="J33" i="22"/>
  <c r="B32" i="33"/>
  <c r="B32" i="24"/>
  <c r="B30" i="33"/>
  <c r="B30" i="32"/>
  <c r="B30" i="24"/>
  <c r="B29" i="33"/>
  <c r="B29" i="24"/>
  <c r="B29" i="32"/>
  <c r="C110" i="33"/>
  <c r="C125" i="32"/>
  <c r="B16" i="12"/>
  <c r="C110" i="24"/>
  <c r="Y2" i="21"/>
  <c r="B11" i="22" s="1"/>
  <c r="U2" i="21"/>
  <c r="B10" i="22" s="1"/>
  <c r="Q2" i="21"/>
  <c r="B9" i="22" s="1"/>
  <c r="U10" i="22"/>
  <c r="B5" i="21" s="1"/>
  <c r="V9" i="22"/>
  <c r="V10" i="22" s="1"/>
  <c r="V11" i="22" s="1"/>
  <c r="V12" i="22" s="1"/>
  <c r="V13" i="22" s="1"/>
  <c r="V14" i="22" s="1"/>
  <c r="V15" i="22" s="1"/>
  <c r="V16" i="22" s="1"/>
  <c r="V17" i="22" s="1"/>
  <c r="B2" i="25"/>
  <c r="B1" i="24"/>
  <c r="K2" i="10"/>
  <c r="B29" i="12"/>
  <c r="E28" i="12"/>
  <c r="F28" i="12"/>
  <c r="E27" i="12"/>
  <c r="F27" i="12"/>
  <c r="E26" i="12"/>
  <c r="F26" i="12"/>
  <c r="E25" i="12"/>
  <c r="F25" i="12"/>
  <c r="E24" i="12"/>
  <c r="F24" i="12"/>
  <c r="E23" i="12"/>
  <c r="F23" i="12"/>
  <c r="E22" i="12"/>
  <c r="F22" i="12"/>
  <c r="I2" i="10"/>
  <c r="H2" i="10"/>
  <c r="F2" i="10"/>
  <c r="B4" i="21"/>
  <c r="S43" i="14"/>
  <c r="O43" i="14"/>
  <c r="G43" i="14"/>
  <c r="S44" i="14"/>
  <c r="O44" i="14"/>
  <c r="G44" i="14"/>
  <c r="R38" i="14"/>
  <c r="F69" i="21" s="1"/>
  <c r="Q38" i="14"/>
  <c r="N38" i="14"/>
  <c r="F66" i="21" s="1"/>
  <c r="M38" i="14"/>
  <c r="F38" i="14"/>
  <c r="F60" i="21" s="1"/>
  <c r="E38" i="14"/>
  <c r="S36" i="14"/>
  <c r="I35" i="10" s="1"/>
  <c r="O36" i="14"/>
  <c r="H35" i="10" s="1"/>
  <c r="G36" i="14"/>
  <c r="F35" i="10" s="1"/>
  <c r="S34" i="14"/>
  <c r="I33" i="10" s="1"/>
  <c r="O34" i="14"/>
  <c r="H33" i="10" s="1"/>
  <c r="G34" i="14"/>
  <c r="F33" i="10" s="1"/>
  <c r="S33" i="14"/>
  <c r="I32" i="10" s="1"/>
  <c r="O33" i="14"/>
  <c r="H32" i="10" s="1"/>
  <c r="G33" i="14"/>
  <c r="F32" i="10" s="1"/>
  <c r="S32" i="14"/>
  <c r="I31" i="10" s="1"/>
  <c r="O32" i="14"/>
  <c r="H31" i="10" s="1"/>
  <c r="G32" i="14"/>
  <c r="F31" i="10" s="1"/>
  <c r="S31" i="14"/>
  <c r="I30" i="10" s="1"/>
  <c r="O31" i="14"/>
  <c r="H30" i="10" s="1"/>
  <c r="G31" i="14"/>
  <c r="F30" i="10" s="1"/>
  <c r="S30" i="14"/>
  <c r="I29" i="10" s="1"/>
  <c r="O30" i="14"/>
  <c r="H29" i="10" s="1"/>
  <c r="G30" i="14"/>
  <c r="F29" i="10" s="1"/>
  <c r="S29" i="14"/>
  <c r="I28" i="10" s="1"/>
  <c r="O29" i="14"/>
  <c r="H28" i="10" s="1"/>
  <c r="G29" i="14"/>
  <c r="F28" i="10" s="1"/>
  <c r="S28" i="14"/>
  <c r="I27" i="10" s="1"/>
  <c r="O28" i="14"/>
  <c r="H27" i="10" s="1"/>
  <c r="G28" i="14"/>
  <c r="S27" i="14"/>
  <c r="I26" i="10" s="1"/>
  <c r="O27" i="14"/>
  <c r="H26" i="10" s="1"/>
  <c r="G27" i="14"/>
  <c r="F26" i="10" s="1"/>
  <c r="S26" i="14"/>
  <c r="I25" i="10" s="1"/>
  <c r="O26" i="14"/>
  <c r="H25" i="10" s="1"/>
  <c r="G26" i="14"/>
  <c r="F25" i="10" s="1"/>
  <c r="S25" i="14"/>
  <c r="I24" i="10" s="1"/>
  <c r="O25" i="14"/>
  <c r="H24" i="10" s="1"/>
  <c r="G25" i="14"/>
  <c r="F24" i="10" s="1"/>
  <c r="S24" i="14"/>
  <c r="I23" i="10" s="1"/>
  <c r="O24" i="14"/>
  <c r="H23" i="10" s="1"/>
  <c r="G24" i="14"/>
  <c r="S23" i="14"/>
  <c r="I22" i="10" s="1"/>
  <c r="O23" i="14"/>
  <c r="H22" i="10" s="1"/>
  <c r="G23" i="14"/>
  <c r="F22" i="10" s="1"/>
  <c r="S22" i="14"/>
  <c r="O22" i="14"/>
  <c r="G22" i="14"/>
  <c r="R19" i="14"/>
  <c r="D68" i="21" s="1"/>
  <c r="Q19" i="14"/>
  <c r="N19" i="14"/>
  <c r="M19" i="14"/>
  <c r="F19" i="14"/>
  <c r="D59" i="21" s="1"/>
  <c r="E19" i="14"/>
  <c r="S17" i="14"/>
  <c r="O17" i="14"/>
  <c r="G17" i="14"/>
  <c r="S16" i="14"/>
  <c r="I16" i="10" s="1"/>
  <c r="O16" i="14"/>
  <c r="H16" i="10" s="1"/>
  <c r="G16" i="14"/>
  <c r="F16" i="10" s="1"/>
  <c r="S15" i="14"/>
  <c r="I15" i="10" s="1"/>
  <c r="O15" i="14"/>
  <c r="H15" i="10" s="1"/>
  <c r="G15" i="14"/>
  <c r="F15" i="10" s="1"/>
  <c r="S14" i="14"/>
  <c r="O14" i="14"/>
  <c r="G14" i="14"/>
  <c r="S13" i="14"/>
  <c r="I13" i="10" s="1"/>
  <c r="O13" i="14"/>
  <c r="H13" i="10" s="1"/>
  <c r="G13" i="14"/>
  <c r="F13" i="10" s="1"/>
  <c r="S12" i="14"/>
  <c r="I12" i="10" s="1"/>
  <c r="O12" i="14"/>
  <c r="H12" i="10" s="1"/>
  <c r="G12" i="14"/>
  <c r="F12" i="10" s="1"/>
  <c r="S11" i="14"/>
  <c r="I11" i="10" s="1"/>
  <c r="O11" i="14"/>
  <c r="H11" i="10" s="1"/>
  <c r="G11" i="14"/>
  <c r="F11" i="10" s="1"/>
  <c r="S10" i="14"/>
  <c r="I10" i="10" s="1"/>
  <c r="O10" i="14"/>
  <c r="H10" i="10" s="1"/>
  <c r="G10" i="14"/>
  <c r="F10" i="10" s="1"/>
  <c r="S9" i="14"/>
  <c r="I9" i="10" s="1"/>
  <c r="O9" i="14"/>
  <c r="H9" i="10" s="1"/>
  <c r="G9" i="14"/>
  <c r="F9" i="10" s="1"/>
  <c r="S8" i="14"/>
  <c r="I8" i="10" s="1"/>
  <c r="O8" i="14"/>
  <c r="H8" i="10" s="1"/>
  <c r="G8" i="14"/>
  <c r="F8" i="10" s="1"/>
  <c r="S7" i="14"/>
  <c r="O7" i="14"/>
  <c r="G7" i="14"/>
  <c r="S6" i="14"/>
  <c r="O6" i="14"/>
  <c r="H6" i="10" s="1"/>
  <c r="G6" i="14"/>
  <c r="F6" i="10" s="1"/>
  <c r="S5" i="14"/>
  <c r="O5" i="14"/>
  <c r="G5" i="14"/>
  <c r="S2" i="14"/>
  <c r="O2" i="14"/>
  <c r="E2" i="14"/>
  <c r="G2" i="14" s="1"/>
  <c r="I49" i="21" l="1"/>
  <c r="G50" i="32"/>
  <c r="D4" i="21"/>
  <c r="F55" i="24" a="1"/>
  <c r="F55" i="24" s="1"/>
  <c r="F70" i="32" a="1"/>
  <c r="F70" i="32" s="1"/>
  <c r="I47" i="21"/>
  <c r="L14" i="15" s="1"/>
  <c r="F75" i="24" a="1"/>
  <c r="F75" i="24" s="1"/>
  <c r="F75" i="33" a="1"/>
  <c r="F75" i="33" s="1"/>
  <c r="F76" i="24" a="1"/>
  <c r="F76" i="24" s="1"/>
  <c r="F76" i="33" a="1"/>
  <c r="F76" i="33" s="1"/>
  <c r="F80" i="24" a="1"/>
  <c r="F80" i="24" s="1"/>
  <c r="F80" i="33" a="1"/>
  <c r="F80" i="33" s="1"/>
  <c r="F77" i="24" a="1"/>
  <c r="F77" i="24" s="1"/>
  <c r="F77" i="33" a="1"/>
  <c r="F77" i="33" s="1"/>
  <c r="F82" i="24" a="1"/>
  <c r="F82" i="24" s="1"/>
  <c r="F82" i="33" a="1"/>
  <c r="F82" i="33" s="1"/>
  <c r="F83" i="24" a="1"/>
  <c r="F83" i="24" s="1"/>
  <c r="F83" i="33" a="1"/>
  <c r="F83" i="33" s="1"/>
  <c r="F84" i="24" a="1"/>
  <c r="F84" i="24" s="1"/>
  <c r="F84" i="33" a="1"/>
  <c r="F84" i="33" s="1"/>
  <c r="F85" i="33" a="1"/>
  <c r="F85" i="33" s="1"/>
  <c r="F85" i="24" a="1"/>
  <c r="F85" i="24" s="1"/>
  <c r="F86" i="33" a="1"/>
  <c r="F86" i="33" s="1"/>
  <c r="F86" i="24" a="1"/>
  <c r="F86" i="24" s="1"/>
  <c r="E66" i="21"/>
  <c r="F10" i="32"/>
  <c r="E60" i="21"/>
  <c r="D10" i="32"/>
  <c r="I6" i="10"/>
  <c r="I50" i="21"/>
  <c r="G9" i="32"/>
  <c r="C68" i="21"/>
  <c r="C65" i="21"/>
  <c r="F9" i="32"/>
  <c r="F11" i="32" s="1"/>
  <c r="C59" i="21"/>
  <c r="D9" i="32"/>
  <c r="I55" i="24"/>
  <c r="I55" i="33"/>
  <c r="I70" i="32"/>
  <c r="F55" i="33" a="1"/>
  <c r="F55" i="33" s="1"/>
  <c r="G10" i="32"/>
  <c r="E69" i="21"/>
  <c r="F88" i="24" a="1"/>
  <c r="F88" i="24" s="1"/>
  <c r="F88" i="33" a="1"/>
  <c r="F88" i="33" s="1"/>
  <c r="F69" i="33" a="1"/>
  <c r="F69" i="33" s="1"/>
  <c r="F79" i="32" a="1"/>
  <c r="F79" i="32" s="1"/>
  <c r="F69" i="24" a="1"/>
  <c r="F69" i="24" s="1"/>
  <c r="F68" i="24" a="1"/>
  <c r="F68" i="24" s="1"/>
  <c r="F68" i="33" a="1"/>
  <c r="F68" i="33" s="1"/>
  <c r="F78" i="32" a="1"/>
  <c r="F78" i="32" s="1"/>
  <c r="F66" i="33" a="1"/>
  <c r="F66" i="33" s="1"/>
  <c r="F84" i="32" a="1"/>
  <c r="F84" i="32" s="1"/>
  <c r="F66" i="24" a="1"/>
  <c r="F66" i="24" s="1"/>
  <c r="F83" i="32" a="1"/>
  <c r="F83" i="32" s="1"/>
  <c r="F65" i="24" a="1"/>
  <c r="F65" i="24" s="1"/>
  <c r="F65" i="33" a="1"/>
  <c r="F65" i="33" s="1"/>
  <c r="F64" i="33" a="1"/>
  <c r="F64" i="33" s="1"/>
  <c r="F82" i="32" a="1"/>
  <c r="F82" i="32" s="1"/>
  <c r="F64" i="24" a="1"/>
  <c r="F64" i="24" s="1"/>
  <c r="F76" i="32" a="1"/>
  <c r="F76" i="32" s="1"/>
  <c r="F61" i="24" a="1"/>
  <c r="F61" i="24" s="1"/>
  <c r="F61" i="33" a="1"/>
  <c r="F61" i="33" s="1"/>
  <c r="F60" i="33" a="1"/>
  <c r="F60" i="33" s="1"/>
  <c r="F75" i="32" a="1"/>
  <c r="F75" i="32" s="1"/>
  <c r="F60" i="24" a="1"/>
  <c r="F60" i="24" s="1"/>
  <c r="F81" i="32" a="1"/>
  <c r="F81" i="32" s="1"/>
  <c r="F63" i="24" a="1"/>
  <c r="F63" i="24" s="1"/>
  <c r="F63" i="33" a="1"/>
  <c r="F63" i="33" s="1"/>
  <c r="F59" i="33" a="1"/>
  <c r="F59" i="33" s="1"/>
  <c r="F74" i="32" a="1"/>
  <c r="F74" i="32" s="1"/>
  <c r="F59" i="24" a="1"/>
  <c r="F59" i="24" s="1"/>
  <c r="N40" i="14"/>
  <c r="D65" i="21"/>
  <c r="R40" i="14"/>
  <c r="F78" i="24" a="1"/>
  <c r="F78" i="24" s="1"/>
  <c r="F78" i="33" a="1"/>
  <c r="F78" i="33" s="1"/>
  <c r="Y36" i="21"/>
  <c r="Z42" i="21" s="1"/>
  <c r="F45" i="32"/>
  <c r="AK1" i="21"/>
  <c r="AK2" i="21" s="1" a="1"/>
  <c r="E45" i="32"/>
  <c r="AJ1" i="21"/>
  <c r="AJ2" i="21" s="1" a="1"/>
  <c r="D45" i="32"/>
  <c r="C117" i="33"/>
  <c r="C132" i="32"/>
  <c r="G10" i="24"/>
  <c r="D10" i="24"/>
  <c r="H7" i="10"/>
  <c r="F27" i="10"/>
  <c r="F81" i="33" s="1" a="1"/>
  <c r="F81" i="33" s="1"/>
  <c r="F5" i="10"/>
  <c r="H5" i="10"/>
  <c r="F21" i="10"/>
  <c r="I5" i="10"/>
  <c r="H21" i="10"/>
  <c r="I21" i="10"/>
  <c r="F14" i="10"/>
  <c r="F7" i="10"/>
  <c r="H14" i="10"/>
  <c r="I14" i="10"/>
  <c r="F23" i="10"/>
  <c r="F79" i="33" s="1" a="1"/>
  <c r="F79" i="33" s="1"/>
  <c r="I7" i="10"/>
  <c r="I17" i="10"/>
  <c r="F17" i="10"/>
  <c r="H17" i="10"/>
  <c r="G9" i="24"/>
  <c r="Q40" i="14"/>
  <c r="E40" i="14"/>
  <c r="F40" i="14"/>
  <c r="M40" i="14"/>
  <c r="F10" i="24"/>
  <c r="C117" i="24"/>
  <c r="U11" i="22"/>
  <c r="U12" i="22" s="1"/>
  <c r="U13" i="22" s="1"/>
  <c r="U14" i="22" s="1"/>
  <c r="U15" i="22" s="1"/>
  <c r="U16" i="22" s="1"/>
  <c r="U17" i="22" s="1"/>
  <c r="U18" i="22" s="1"/>
  <c r="V18" i="22" s="1"/>
  <c r="F9" i="24"/>
  <c r="U18" i="21"/>
  <c r="V40" i="21" s="1"/>
  <c r="Q27" i="21"/>
  <c r="U27" i="21"/>
  <c r="V33" i="21" s="1"/>
  <c r="U36" i="21"/>
  <c r="V42" i="21" s="1"/>
  <c r="Q18" i="21"/>
  <c r="Q36" i="21"/>
  <c r="Y27" i="21"/>
  <c r="Z33" i="21" s="1"/>
  <c r="H4" i="21"/>
  <c r="Z4" i="21"/>
  <c r="L4" i="21"/>
  <c r="Y4" i="21"/>
  <c r="M4" i="21"/>
  <c r="Q4" i="21"/>
  <c r="V4" i="21"/>
  <c r="I4" i="21"/>
  <c r="U4" i="21"/>
  <c r="R4" i="21"/>
  <c r="E4" i="21"/>
  <c r="Y18" i="21"/>
  <c r="Z23" i="21" s="1"/>
  <c r="AL1" i="21"/>
  <c r="AL2" i="21" s="1" a="1"/>
  <c r="F29" i="12"/>
  <c r="D9" i="24"/>
  <c r="S38" i="14"/>
  <c r="G10" i="33" s="1"/>
  <c r="O19" i="14"/>
  <c r="F9" i="33" s="1"/>
  <c r="S19" i="14"/>
  <c r="G9" i="33" s="1"/>
  <c r="G38" i="14"/>
  <c r="D10" i="33" s="1"/>
  <c r="O38" i="14"/>
  <c r="F10" i="33" s="1"/>
  <c r="G19" i="14"/>
  <c r="D9" i="33" s="1"/>
  <c r="C4" i="21"/>
  <c r="A4" i="21" s="1"/>
  <c r="C6" i="21"/>
  <c r="C5" i="21"/>
  <c r="A5" i="21" s="1"/>
  <c r="Y33" i="21" l="1"/>
  <c r="Z24" i="21"/>
  <c r="F79" i="24" a="1"/>
  <c r="F79" i="24" s="1"/>
  <c r="F81" i="24" a="1"/>
  <c r="F81" i="24" s="1"/>
  <c r="U33" i="21"/>
  <c r="Q39" i="21"/>
  <c r="Q20" i="21"/>
  <c r="D46" i="32" s="1"/>
  <c r="Q24" i="21"/>
  <c r="U24" i="21"/>
  <c r="Y24" i="21"/>
  <c r="U42" i="21"/>
  <c r="R24" i="21"/>
  <c r="Y42" i="21"/>
  <c r="D11" i="32"/>
  <c r="V24" i="21"/>
  <c r="M24" i="21" s="1"/>
  <c r="R33" i="21"/>
  <c r="M33" i="21" s="1"/>
  <c r="Q33" i="21"/>
  <c r="Q42" i="21"/>
  <c r="R42" i="21"/>
  <c r="M42" i="21" s="1"/>
  <c r="AL2" i="21"/>
  <c r="Z15" i="21" s="1"/>
  <c r="E11" i="22" s="1"/>
  <c r="AK2" i="21"/>
  <c r="V15" i="21" s="1"/>
  <c r="E10" i="22" s="1"/>
  <c r="G11" i="32"/>
  <c r="G12" i="32" s="1"/>
  <c r="AJ2" i="21"/>
  <c r="R15" i="21" s="1"/>
  <c r="E9" i="22" s="1"/>
  <c r="F67" i="24" a="1"/>
  <c r="F67" i="24" s="1"/>
  <c r="F67" i="33" a="1"/>
  <c r="F67" i="33" s="1"/>
  <c r="F77" i="32" a="1"/>
  <c r="F77" i="32" s="1"/>
  <c r="F62" i="33" a="1"/>
  <c r="F62" i="33" s="1"/>
  <c r="F80" i="32" a="1"/>
  <c r="F80" i="32" s="1"/>
  <c r="F62" i="24" a="1"/>
  <c r="F62" i="24" s="1"/>
  <c r="F70" i="33" a="1"/>
  <c r="F70" i="33" s="1"/>
  <c r="F70" i="24" a="1"/>
  <c r="F70" i="24" s="1"/>
  <c r="F85" i="32" a="1"/>
  <c r="F85" i="32" s="1"/>
  <c r="F74" i="24" a="1"/>
  <c r="F74" i="24" s="1"/>
  <c r="F91" i="24" s="1"/>
  <c r="F74" i="33" a="1"/>
  <c r="F74" i="33" s="1"/>
  <c r="F91" i="33" s="1"/>
  <c r="F58" i="33" a="1"/>
  <c r="F58" i="33" s="1"/>
  <c r="F73" i="32" a="1"/>
  <c r="F73" i="32" s="1"/>
  <c r="F58" i="24" a="1"/>
  <c r="F58" i="24" s="1"/>
  <c r="G11" i="33"/>
  <c r="D11" i="24"/>
  <c r="D11" i="33"/>
  <c r="F18" i="10"/>
  <c r="I18" i="10"/>
  <c r="F38" i="10"/>
  <c r="H18" i="10"/>
  <c r="F11" i="33"/>
  <c r="G11" i="24"/>
  <c r="I38" i="10"/>
  <c r="H38" i="10"/>
  <c r="O40" i="14"/>
  <c r="G40" i="14"/>
  <c r="S40" i="14"/>
  <c r="F11" i="24"/>
  <c r="K38" i="10"/>
  <c r="U39" i="21"/>
  <c r="U38" i="21"/>
  <c r="V39" i="21"/>
  <c r="V23" i="21"/>
  <c r="R38" i="21"/>
  <c r="V38" i="21"/>
  <c r="R31" i="21"/>
  <c r="V31" i="21"/>
  <c r="R22" i="21"/>
  <c r="Q22" i="21"/>
  <c r="D48" i="32" s="1"/>
  <c r="R32" i="21"/>
  <c r="V32" i="21"/>
  <c r="Q41" i="21"/>
  <c r="R23" i="21"/>
  <c r="Q31" i="21"/>
  <c r="U31" i="21"/>
  <c r="V41" i="21"/>
  <c r="Q23" i="21"/>
  <c r="D49" i="32" s="1"/>
  <c r="R29" i="21"/>
  <c r="V21" i="21"/>
  <c r="V29" i="21"/>
  <c r="R30" i="21"/>
  <c r="U22" i="21"/>
  <c r="E48" i="32" s="1"/>
  <c r="R40" i="21"/>
  <c r="V20" i="21"/>
  <c r="Q38" i="21"/>
  <c r="B7" i="21"/>
  <c r="V30" i="21"/>
  <c r="Q40" i="21"/>
  <c r="U41" i="21"/>
  <c r="Q21" i="21"/>
  <c r="D47" i="32" s="1"/>
  <c r="R21" i="21"/>
  <c r="U23" i="21"/>
  <c r="E49" i="32" s="1"/>
  <c r="U21" i="21"/>
  <c r="E47" i="32" s="1"/>
  <c r="Q32" i="21"/>
  <c r="Q30" i="21"/>
  <c r="U32" i="21"/>
  <c r="R39" i="21"/>
  <c r="R41" i="21"/>
  <c r="R20" i="21"/>
  <c r="Q29" i="21"/>
  <c r="V22" i="21"/>
  <c r="U20" i="21"/>
  <c r="E46" i="32" s="1"/>
  <c r="U29" i="21"/>
  <c r="U30" i="21"/>
  <c r="U40" i="21"/>
  <c r="Z20" i="21"/>
  <c r="Z29" i="21"/>
  <c r="Y38" i="21"/>
  <c r="Z38" i="21"/>
  <c r="Z39" i="21"/>
  <c r="Y40" i="21"/>
  <c r="Y41" i="21"/>
  <c r="Z40" i="21"/>
  <c r="Z41" i="21"/>
  <c r="Y39" i="21"/>
  <c r="Y23" i="21"/>
  <c r="F49" i="32" s="1"/>
  <c r="Z22" i="21"/>
  <c r="Y22" i="21"/>
  <c r="F48" i="32" s="1"/>
  <c r="Z21" i="21"/>
  <c r="Y21" i="21"/>
  <c r="F47" i="32" s="1"/>
  <c r="Y20" i="21"/>
  <c r="F46" i="32" s="1"/>
  <c r="Z32" i="21"/>
  <c r="Y32" i="21"/>
  <c r="Z31" i="21"/>
  <c r="Y31" i="21"/>
  <c r="Z30" i="21"/>
  <c r="Y30" i="21"/>
  <c r="Y29" i="21"/>
  <c r="J40" i="10"/>
  <c r="B6" i="21"/>
  <c r="A6" i="21" s="1"/>
  <c r="C7" i="21"/>
  <c r="AA23" i="21" l="1"/>
  <c r="N29" i="21"/>
  <c r="L24" i="21"/>
  <c r="S39" i="21"/>
  <c r="S30" i="21"/>
  <c r="W38" i="21"/>
  <c r="W29" i="21"/>
  <c r="S38" i="21"/>
  <c r="N32" i="21"/>
  <c r="AA39" i="21"/>
  <c r="W30" i="21"/>
  <c r="W21" i="21"/>
  <c r="W32" i="21"/>
  <c r="W23" i="21"/>
  <c r="S32" i="21"/>
  <c r="N41" i="21"/>
  <c r="AA22" i="21"/>
  <c r="W39" i="21"/>
  <c r="N23" i="21"/>
  <c r="B43" i="32" s="1"/>
  <c r="W40" i="21"/>
  <c r="AA21" i="21"/>
  <c r="L42" i="21"/>
  <c r="N22" i="21"/>
  <c r="N30" i="21"/>
  <c r="AA31" i="21"/>
  <c r="F94" i="32" a="1"/>
  <c r="F94" i="32" s="1"/>
  <c r="N40" i="21"/>
  <c r="N38" i="21"/>
  <c r="S22" i="21"/>
  <c r="AA29" i="21"/>
  <c r="W20" i="21"/>
  <c r="N31" i="21"/>
  <c r="N21" i="21"/>
  <c r="AA32" i="21"/>
  <c r="AA41" i="21"/>
  <c r="AA20" i="21"/>
  <c r="S21" i="21"/>
  <c r="S40" i="21"/>
  <c r="W31" i="21"/>
  <c r="N39" i="21"/>
  <c r="AA40" i="21"/>
  <c r="S41" i="21"/>
  <c r="S31" i="21"/>
  <c r="C9" i="22"/>
  <c r="L33" i="21"/>
  <c r="S23" i="21"/>
  <c r="S42" i="21"/>
  <c r="N33" i="21"/>
  <c r="N42" i="21"/>
  <c r="N20" i="21"/>
  <c r="F71" i="24"/>
  <c r="F93" i="24" s="1"/>
  <c r="F71" i="33"/>
  <c r="F93" i="33" s="1"/>
  <c r="F86" i="32"/>
  <c r="A7" i="21"/>
  <c r="G44" i="33"/>
  <c r="I44" i="33" s="1"/>
  <c r="G59" i="32"/>
  <c r="I59" i="32" s="1"/>
  <c r="G44" i="24"/>
  <c r="I44" i="24" s="1"/>
  <c r="F50" i="32"/>
  <c r="G12" i="24"/>
  <c r="E50" i="32"/>
  <c r="G12" i="33"/>
  <c r="D50" i="32"/>
  <c r="W24" i="21"/>
  <c r="S29" i="21"/>
  <c r="S24" i="21"/>
  <c r="S20" i="21"/>
  <c r="W22" i="21"/>
  <c r="W41" i="21"/>
  <c r="AA38" i="21"/>
  <c r="AA24" i="21"/>
  <c r="AA30" i="21"/>
  <c r="I40" i="10"/>
  <c r="F40" i="10"/>
  <c r="H6" i="21"/>
  <c r="U6" i="21"/>
  <c r="Y6" i="21"/>
  <c r="V6" i="21"/>
  <c r="I6" i="21"/>
  <c r="Z6" i="21"/>
  <c r="Q6" i="21"/>
  <c r="R6" i="21"/>
  <c r="M6" i="21"/>
  <c r="L6" i="21"/>
  <c r="H5" i="21"/>
  <c r="I5" i="21"/>
  <c r="V5" i="21"/>
  <c r="R5" i="21"/>
  <c r="L5" i="21"/>
  <c r="U5" i="21"/>
  <c r="Z5" i="21"/>
  <c r="Y5" i="21"/>
  <c r="Q5" i="21"/>
  <c r="M5" i="21"/>
  <c r="D6" i="21"/>
  <c r="E6" i="21"/>
  <c r="E5" i="21"/>
  <c r="D5" i="21"/>
  <c r="H40" i="10"/>
  <c r="B8" i="21"/>
  <c r="C8" i="21"/>
  <c r="B9" i="21"/>
  <c r="F95" i="32" l="1" a="1"/>
  <c r="F95" i="32" s="1"/>
  <c r="W42" i="21"/>
  <c r="D10" i="22"/>
  <c r="S33" i="21"/>
  <c r="W33" i="21"/>
  <c r="C10" i="22"/>
  <c r="D9" i="22"/>
  <c r="AA42" i="21"/>
  <c r="D11" i="22"/>
  <c r="AA33" i="21"/>
  <c r="C11" i="22"/>
  <c r="A8" i="21"/>
  <c r="K40" i="10"/>
  <c r="H8" i="21"/>
  <c r="U8" i="21"/>
  <c r="M8" i="21"/>
  <c r="I8" i="21"/>
  <c r="Y8" i="21"/>
  <c r="Q8" i="21"/>
  <c r="V8" i="21"/>
  <c r="R8" i="21"/>
  <c r="Z8" i="21"/>
  <c r="L8" i="21"/>
  <c r="H7" i="21"/>
  <c r="Z7" i="21"/>
  <c r="Q7" i="21"/>
  <c r="V7" i="21"/>
  <c r="R7" i="21"/>
  <c r="L7" i="21"/>
  <c r="U7" i="21"/>
  <c r="M7" i="21"/>
  <c r="I7" i="21"/>
  <c r="Y7" i="21"/>
  <c r="E8" i="21"/>
  <c r="D8" i="21"/>
  <c r="D7" i="21"/>
  <c r="E7" i="21"/>
  <c r="B10" i="21"/>
  <c r="C9" i="21"/>
  <c r="A9" i="21" s="1"/>
  <c r="L9" i="21" l="1"/>
  <c r="B46" i="33"/>
  <c r="G46" i="33"/>
  <c r="I46" i="33" s="1"/>
  <c r="G61" i="32"/>
  <c r="I61" i="32" s="1"/>
  <c r="G46" i="24"/>
  <c r="I46" i="24" s="1"/>
  <c r="B46" i="24"/>
  <c r="K45" i="10"/>
  <c r="K48" i="10"/>
  <c r="H102" i="33" s="1"/>
  <c r="M9" i="21"/>
  <c r="U9" i="21"/>
  <c r="Z9" i="21"/>
  <c r="V9" i="21"/>
  <c r="Q9" i="21"/>
  <c r="Y9" i="21"/>
  <c r="R9" i="21"/>
  <c r="I9" i="21"/>
  <c r="H9" i="21"/>
  <c r="D9" i="21"/>
  <c r="E9" i="21"/>
  <c r="B11" i="21"/>
  <c r="C10" i="21"/>
  <c r="A10" i="21" s="1"/>
  <c r="H10" i="21" l="1"/>
  <c r="B48" i="33"/>
  <c r="G48" i="24"/>
  <c r="G48" i="33"/>
  <c r="G63" i="32"/>
  <c r="B48" i="24"/>
  <c r="H102" i="24"/>
  <c r="F47" i="10"/>
  <c r="F100" i="32" s="1" a="1"/>
  <c r="F100" i="32" s="1"/>
  <c r="F106" i="32" s="1"/>
  <c r="F108" i="32" s="1"/>
  <c r="K47" i="10"/>
  <c r="L10" i="21"/>
  <c r="Y10" i="21"/>
  <c r="I10" i="21"/>
  <c r="V10" i="21"/>
  <c r="M10" i="21"/>
  <c r="Z10" i="21"/>
  <c r="U10" i="21"/>
  <c r="Q10" i="21"/>
  <c r="R10" i="21"/>
  <c r="E10" i="21"/>
  <c r="D10" i="21"/>
  <c r="C11" i="21"/>
  <c r="A11" i="21" s="1"/>
  <c r="C12" i="21"/>
  <c r="B12" i="21"/>
  <c r="I48" i="24" l="1"/>
  <c r="I63" i="32"/>
  <c r="I48" i="33"/>
  <c r="C116" i="32"/>
  <c r="C101" i="24"/>
  <c r="C101" i="33"/>
  <c r="I116" i="32"/>
  <c r="I101" i="33"/>
  <c r="I101" i="24"/>
  <c r="U11" i="21"/>
  <c r="A12" i="21"/>
  <c r="I49" i="33"/>
  <c r="I64" i="32"/>
  <c r="I49" i="24"/>
  <c r="C4" i="12"/>
  <c r="Y11" i="21"/>
  <c r="V11" i="21"/>
  <c r="R11" i="21"/>
  <c r="E11" i="21"/>
  <c r="I11" i="21"/>
  <c r="H11" i="21"/>
  <c r="Q11" i="21"/>
  <c r="M11" i="21"/>
  <c r="L11" i="21"/>
  <c r="Z11" i="21"/>
  <c r="D11" i="21"/>
  <c r="C13" i="21"/>
  <c r="B13" i="21"/>
  <c r="Q12" i="21" l="1"/>
  <c r="A13" i="21"/>
  <c r="R12" i="21"/>
  <c r="Y12" i="21"/>
  <c r="U12" i="21"/>
  <c r="L12" i="21"/>
  <c r="H12" i="21"/>
  <c r="R13" i="21"/>
  <c r="Z13" i="21"/>
  <c r="U13" i="21"/>
  <c r="M13" i="21"/>
  <c r="V13" i="21"/>
  <c r="H13" i="21"/>
  <c r="I13" i="21"/>
  <c r="L13" i="21"/>
  <c r="Q13" i="21"/>
  <c r="Y13" i="21"/>
  <c r="Z12" i="21"/>
  <c r="M12" i="21"/>
  <c r="V12" i="21"/>
  <c r="I12" i="21"/>
  <c r="E13" i="21"/>
  <c r="D13" i="21"/>
  <c r="E12" i="21"/>
  <c r="D12" i="21"/>
  <c r="Y14" i="21" l="1"/>
  <c r="I14" i="21"/>
  <c r="D14" i="21"/>
  <c r="U14" i="21"/>
  <c r="E14" i="21"/>
  <c r="B27" i="24" s="1"/>
  <c r="V14" i="21"/>
  <c r="L14" i="21"/>
  <c r="M14" i="21"/>
  <c r="N13" i="21" s="1"/>
  <c r="R14" i="21"/>
  <c r="Z14" i="21"/>
  <c r="H14" i="21"/>
  <c r="Q14" i="21"/>
  <c r="C5" i="12" l="1"/>
  <c r="A19" i="21"/>
  <c r="A20" i="21" s="1"/>
  <c r="B27" i="32"/>
  <c r="B27" i="33"/>
  <c r="W12" i="21"/>
  <c r="W14" i="21"/>
  <c r="AA12" i="21"/>
  <c r="AA14" i="21"/>
  <c r="S12" i="21"/>
  <c r="S14" i="21"/>
  <c r="AA13" i="21"/>
  <c r="S13" i="21"/>
  <c r="F6" i="21"/>
  <c r="F5" i="21"/>
  <c r="F4" i="21"/>
  <c r="F7" i="21"/>
  <c r="F8" i="21"/>
  <c r="F9" i="21"/>
  <c r="F10" i="21"/>
  <c r="F11" i="21"/>
  <c r="N5" i="21"/>
  <c r="N7" i="21"/>
  <c r="N6" i="21"/>
  <c r="N4" i="21"/>
  <c r="N8" i="21"/>
  <c r="N9" i="21"/>
  <c r="N11" i="21"/>
  <c r="N10" i="21"/>
  <c r="F12" i="21"/>
  <c r="AA8" i="21"/>
  <c r="AA6" i="21"/>
  <c r="AA5" i="21"/>
  <c r="AA4" i="21"/>
  <c r="AA7" i="21"/>
  <c r="AA9" i="21"/>
  <c r="AA10" i="21"/>
  <c r="AA11" i="21"/>
  <c r="N12" i="21"/>
  <c r="F13" i="21"/>
  <c r="W6" i="21"/>
  <c r="W4" i="21"/>
  <c r="W5" i="21"/>
  <c r="W7" i="21"/>
  <c r="W8" i="21"/>
  <c r="W9" i="21"/>
  <c r="W10" i="21"/>
  <c r="W11" i="21"/>
  <c r="J13" i="21"/>
  <c r="J4" i="21"/>
  <c r="J6" i="21"/>
  <c r="J7" i="21"/>
  <c r="J5" i="21"/>
  <c r="J8" i="21"/>
  <c r="J10" i="21"/>
  <c r="J9" i="21"/>
  <c r="J11" i="21"/>
  <c r="S5" i="21"/>
  <c r="S6" i="21"/>
  <c r="S7" i="21"/>
  <c r="S4" i="21"/>
  <c r="S8" i="21"/>
  <c r="S10" i="21"/>
  <c r="S9" i="21"/>
  <c r="S11" i="21"/>
  <c r="W13" i="21"/>
  <c r="J12" i="21"/>
  <c r="A22" i="21" l="1"/>
  <c r="A23" i="21"/>
  <c r="A24" i="21"/>
  <c r="A25" i="21"/>
  <c r="A26" i="21"/>
  <c r="A27" i="21"/>
  <c r="A28" i="21"/>
  <c r="A29" i="21"/>
  <c r="A30" i="21"/>
  <c r="A31" i="21"/>
  <c r="A32" i="21"/>
  <c r="A33" i="21"/>
  <c r="A34" i="21"/>
  <c r="A35" i="21"/>
  <c r="A36" i="21"/>
  <c r="A37" i="21"/>
  <c r="A38" i="21"/>
  <c r="A39" i="21"/>
  <c r="A40" i="21"/>
  <c r="A21" i="21"/>
  <c r="I9" i="12"/>
  <c r="C40" i="21" l="1"/>
  <c r="E40" i="21" s="1" a="1"/>
  <c r="E40" i="21" s="1"/>
  <c r="C39" i="21"/>
  <c r="C38" i="21"/>
  <c r="C37" i="21"/>
  <c r="C36" i="21"/>
  <c r="C35" i="21"/>
  <c r="C34" i="21"/>
  <c r="C33" i="21"/>
  <c r="C32" i="21"/>
  <c r="C31" i="21"/>
  <c r="C30" i="21"/>
  <c r="C29" i="21"/>
  <c r="C28" i="21"/>
  <c r="C27" i="21"/>
  <c r="C26" i="21"/>
  <c r="C25" i="21"/>
  <c r="C24" i="21"/>
  <c r="C23" i="21"/>
  <c r="C22" i="21"/>
  <c r="C21" i="21"/>
  <c r="C13" i="12"/>
  <c r="C14" i="12"/>
  <c r="C15" i="12"/>
  <c r="C9" i="12"/>
  <c r="C10" i="12"/>
  <c r="C11" i="12"/>
  <c r="C12" i="12"/>
  <c r="E21" i="21" l="1" a="1"/>
  <c r="E21" i="21" s="1"/>
  <c r="D21" i="21"/>
  <c r="E22" i="21" a="1"/>
  <c r="E22" i="21" s="1"/>
  <c r="D22" i="21"/>
  <c r="E23" i="21" a="1"/>
  <c r="E23" i="21" s="1"/>
  <c r="D23" i="21"/>
  <c r="E24" i="21" a="1"/>
  <c r="E24" i="21" s="1"/>
  <c r="D24" i="21"/>
  <c r="E25" i="21" a="1"/>
  <c r="E25" i="21" s="1"/>
  <c r="D25" i="21"/>
  <c r="E26" i="21" a="1"/>
  <c r="E26" i="21" s="1"/>
  <c r="D26" i="21"/>
  <c r="E27" i="21" a="1"/>
  <c r="E27" i="21" s="1"/>
  <c r="D27" i="21"/>
  <c r="E28" i="21" a="1"/>
  <c r="E28" i="21" s="1"/>
  <c r="D28" i="21"/>
  <c r="E29" i="21" a="1"/>
  <c r="E29" i="21" s="1"/>
  <c r="D29" i="21"/>
  <c r="E30" i="21" a="1"/>
  <c r="E30" i="21" s="1"/>
  <c r="D30" i="21"/>
  <c r="E31" i="21" a="1"/>
  <c r="E31" i="21" s="1"/>
  <c r="D31" i="21"/>
  <c r="E32" i="21" a="1"/>
  <c r="E32" i="21" s="1"/>
  <c r="D32" i="21"/>
  <c r="E33" i="21" a="1"/>
  <c r="E33" i="21" s="1"/>
  <c r="D33" i="21"/>
  <c r="E34" i="21" a="1"/>
  <c r="E34" i="21" s="1"/>
  <c r="D34" i="21"/>
  <c r="E35" i="21" a="1"/>
  <c r="E35" i="21" s="1"/>
  <c r="D35" i="21"/>
  <c r="E36" i="21" a="1"/>
  <c r="E36" i="21" s="1"/>
  <c r="D36" i="21"/>
  <c r="E37" i="21" a="1"/>
  <c r="E37" i="21" s="1"/>
  <c r="D37" i="21"/>
  <c r="E38" i="21" a="1"/>
  <c r="E38" i="21" s="1"/>
  <c r="D38" i="21"/>
  <c r="E39" i="21" a="1"/>
  <c r="E39" i="21" s="1"/>
  <c r="D39" i="21"/>
  <c r="F40" i="21"/>
  <c r="F20" i="21"/>
  <c r="D128" i="32"/>
  <c r="D113" i="33"/>
  <c r="D127" i="32"/>
  <c r="D112" i="33"/>
  <c r="D126" i="32"/>
  <c r="D111" i="33"/>
  <c r="D131" i="32"/>
  <c r="D116" i="33"/>
  <c r="D115" i="33"/>
  <c r="D130" i="32"/>
  <c r="D125" i="32"/>
  <c r="D110" i="33"/>
  <c r="D114" i="33"/>
  <c r="D129" i="32"/>
  <c r="D113" i="24"/>
  <c r="D116" i="24"/>
  <c r="D115" i="24"/>
  <c r="D114" i="24"/>
  <c r="D112" i="24"/>
  <c r="D111" i="24"/>
  <c r="D110" i="24"/>
  <c r="A107" i="24" s="1"/>
  <c r="E14" i="12"/>
  <c r="F14" i="12"/>
  <c r="E12" i="12"/>
  <c r="F12" i="12"/>
  <c r="E10" i="12"/>
  <c r="F10" i="12"/>
  <c r="E13" i="12"/>
  <c r="F13" i="12"/>
  <c r="E15" i="12"/>
  <c r="F15" i="12"/>
  <c r="E11" i="12"/>
  <c r="F11" i="12"/>
  <c r="E9" i="12"/>
  <c r="F9" i="12"/>
  <c r="F31" i="21" l="1"/>
  <c r="F30" i="21"/>
  <c r="F29" i="21"/>
  <c r="F28" i="21"/>
  <c r="F27" i="21"/>
  <c r="F26" i="21"/>
  <c r="F25" i="21"/>
  <c r="F24" i="21"/>
  <c r="F23" i="21"/>
  <c r="F22" i="21"/>
  <c r="F21" i="21"/>
  <c r="F39" i="21"/>
  <c r="F38" i="21"/>
  <c r="F37" i="21"/>
  <c r="F36" i="21"/>
  <c r="F35" i="21"/>
  <c r="F32" i="21"/>
  <c r="F33" i="21"/>
  <c r="F34" i="21"/>
  <c r="A122" i="32"/>
  <c r="A107" i="33"/>
  <c r="E130" i="32"/>
  <c r="E115" i="33"/>
  <c r="E125" i="32"/>
  <c r="E110" i="33"/>
  <c r="E116" i="33"/>
  <c r="E131" i="32"/>
  <c r="F125" i="32"/>
  <c r="F110" i="33"/>
  <c r="F111" i="33"/>
  <c r="F126" i="32"/>
  <c r="E128" i="32"/>
  <c r="E113" i="33"/>
  <c r="F127" i="32"/>
  <c r="F112" i="33"/>
  <c r="E127" i="32"/>
  <c r="E112" i="33"/>
  <c r="F116" i="33"/>
  <c r="F131" i="32"/>
  <c r="F129" i="32"/>
  <c r="F114" i="33"/>
  <c r="E114" i="33"/>
  <c r="E129" i="32"/>
  <c r="E111" i="33"/>
  <c r="E126" i="32"/>
  <c r="F113" i="33"/>
  <c r="F128" i="32"/>
  <c r="F130" i="32"/>
  <c r="F115" i="33"/>
  <c r="E116" i="24"/>
  <c r="E115" i="24"/>
  <c r="E110" i="24"/>
  <c r="E112" i="24"/>
  <c r="E114" i="24"/>
  <c r="E111" i="24"/>
  <c r="E113" i="24"/>
  <c r="F111" i="24"/>
  <c r="F112" i="24"/>
  <c r="F113" i="24"/>
  <c r="F115" i="24"/>
  <c r="F110" i="24"/>
  <c r="F116" i="24"/>
  <c r="F114" i="24"/>
  <c r="F16" i="12"/>
  <c r="B39" i="24" l="1"/>
  <c r="B39" i="33"/>
  <c r="B39" i="32"/>
  <c r="F117" i="33"/>
  <c r="A106" i="33" s="1"/>
  <c r="F132" i="32"/>
  <c r="A121" i="32" s="1"/>
  <c r="F117" i="24"/>
  <c r="A106" i="2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<sst xmlns="http://schemas.openxmlformats.org/spreadsheetml/2006/main" count="485" uniqueCount="231">
  <si>
    <t>Knowing our Numbers</t>
  </si>
  <si>
    <t>1. Getting started</t>
  </si>
  <si>
    <t>2. Adding history</t>
  </si>
  <si>
    <t>3. Making plans</t>
  </si>
  <si>
    <t>4. Reporting back</t>
  </si>
  <si>
    <t>5. Digging deeper</t>
  </si>
  <si>
    <t>Add your church name and define the years that you have data for.</t>
  </si>
  <si>
    <t>Add up to four years of accounting data from your parish returns.</t>
  </si>
  <si>
    <t>Make a simple budget, to see whether your current planned giving will cover it.</t>
  </si>
  <si>
    <t>Print a report (or export it to pdf) to help prepare for your giving review meeting.</t>
  </si>
  <si>
    <t>Optional: Add more depth to your analysis with options to add reserved funds, explore the giving data or add a giver analysis by age band.</t>
  </si>
  <si>
    <t>Add one year of planned giving data from your Gift Aid and other giving records.</t>
  </si>
  <si>
    <t>Use the model to see what happens when people increase their giving by different amounts.</t>
  </si>
  <si>
    <t>Getting started</t>
  </si>
  <si>
    <t>Options</t>
  </si>
  <si>
    <t>What is your church name?</t>
  </si>
  <si>
    <t>Financial history: what years does your finance history cover?</t>
  </si>
  <si>
    <t>The years do not have to be the most recent or even consecutive, but they should be "typical" years, so you can use them to plan from.</t>
  </si>
  <si>
    <t>Year 1</t>
  </si>
  <si>
    <t>Required</t>
  </si>
  <si>
    <t>Oldest</t>
  </si>
  <si>
    <t>Year 2</t>
  </si>
  <si>
    <t>Optional</t>
  </si>
  <si>
    <t>ò</t>
  </si>
  <si>
    <t>Year 3</t>
  </si>
  <si>
    <t>Year 4</t>
  </si>
  <si>
    <t>Most recent</t>
  </si>
  <si>
    <t>Giving history: what year does your giving data cover?</t>
  </si>
  <si>
    <t>This should also be a typical and recent year for which you can import a full history of planned giving.</t>
  </si>
  <si>
    <t>Year</t>
  </si>
  <si>
    <t>What year are you planning for?</t>
  </si>
  <si>
    <t>Finance history</t>
  </si>
  <si>
    <t>Unrestricted</t>
  </si>
  <si>
    <t>Restricted</t>
  </si>
  <si>
    <t>Total</t>
  </si>
  <si>
    <t>Income</t>
  </si>
  <si>
    <t>1. Tax efficient planned giving</t>
  </si>
  <si>
    <t>Regular Gift Aid giving</t>
  </si>
  <si>
    <t>2. Other planned giving</t>
  </si>
  <si>
    <t>Non Gift Aid</t>
  </si>
  <si>
    <t>3. Collections at services</t>
  </si>
  <si>
    <t>4. All other unrestricted giving</t>
  </si>
  <si>
    <r>
      <rPr>
        <i/>
        <sz val="10"/>
        <color rgb="FF000000"/>
        <rFont val="Aptos Narrow"/>
        <family val="2"/>
        <scheme val="minor"/>
      </rPr>
      <t xml:space="preserve">Including </t>
    </r>
    <r>
      <rPr>
        <i/>
        <sz val="10"/>
        <rFont val="Aptos Narrow"/>
        <family val="2"/>
        <scheme val="minor"/>
      </rPr>
      <t>Special Appeals for unrestricted funds</t>
    </r>
    <r>
      <rPr>
        <i/>
        <sz val="10"/>
        <color rgb="FF000000"/>
        <rFont val="Aptos Narrow"/>
        <family val="2"/>
        <scheme val="minor"/>
      </rPr>
      <t xml:space="preserve"> (recurring and one-off)</t>
    </r>
  </si>
  <si>
    <t>6. Gift Aid recovered</t>
  </si>
  <si>
    <t>6a. GASDS received</t>
  </si>
  <si>
    <t>7. Legacies received</t>
  </si>
  <si>
    <t>Capital value</t>
  </si>
  <si>
    <t>8. Grants</t>
  </si>
  <si>
    <t>Recurring and one-off for unrestricted funds</t>
  </si>
  <si>
    <t>9. Income from fundraising activities</t>
  </si>
  <si>
    <t>Gross proceeds</t>
  </si>
  <si>
    <t xml:space="preserve">10. Dividends, interest, income from property etc. </t>
  </si>
  <si>
    <t>11. Statutory fees retained by the PCC</t>
  </si>
  <si>
    <t>Weddings, funerals, etc.</t>
  </si>
  <si>
    <t>12. Trading activities (gross proceeds)</t>
  </si>
  <si>
    <t>Hall lettings, bookstall etc. NOT fundraising</t>
  </si>
  <si>
    <t>13. Any other income / receipts</t>
  </si>
  <si>
    <t>Sale of property, insurance rebates etc</t>
  </si>
  <si>
    <t>Total Income</t>
  </si>
  <si>
    <t>Expenditure</t>
  </si>
  <si>
    <t>17. Fund-raising activites</t>
  </si>
  <si>
    <t>Costs and payments</t>
  </si>
  <si>
    <t>18. Mission giving and donations</t>
  </si>
  <si>
    <t>19. Deanery Share / Parish Share contribution</t>
  </si>
  <si>
    <t>20. Salaries, wages and honararia</t>
  </si>
  <si>
    <t>21. Clergy and staff expenses</t>
  </si>
  <si>
    <t>22. Mission and evangelism costs</t>
  </si>
  <si>
    <t>23a. Church running expenses (inc. Governance)</t>
  </si>
  <si>
    <t>23b. Church building maintenance costs</t>
  </si>
  <si>
    <t>23c. Church building insurance (inc. contents)</t>
  </si>
  <si>
    <t>24. Church utility bills</t>
  </si>
  <si>
    <t>25. Cost of trading</t>
  </si>
  <si>
    <t>Costs relating to the income in 12. above</t>
  </si>
  <si>
    <t>27. Major repairs to the church building</t>
  </si>
  <si>
    <t>28. Major repairs to PCC property</t>
  </si>
  <si>
    <t>Church hall or other property, including redecoration</t>
  </si>
  <si>
    <t>29. New building work</t>
  </si>
  <si>
    <t>Church, church hall, clergy housing or other PCC property</t>
  </si>
  <si>
    <t>99. Any other payments / expenditure</t>
  </si>
  <si>
    <t>Total Expenditure</t>
  </si>
  <si>
    <t>Operational Surplus/Shortfall</t>
  </si>
  <si>
    <t>Reserves we hold</t>
  </si>
  <si>
    <t>Bank accounts (current &amp; deposit)</t>
  </si>
  <si>
    <t>Use the published account figures to include existing/known liabilities</t>
  </si>
  <si>
    <t>Investment assets: Share portfolios</t>
  </si>
  <si>
    <t>Giving history</t>
  </si>
  <si>
    <t>Annual total</t>
  </si>
  <si>
    <t>Gift Aid-able?</t>
  </si>
  <si>
    <t>Giving method</t>
  </si>
  <si>
    <t>Age band</t>
  </si>
  <si>
    <t>For information</t>
  </si>
  <si>
    <t>What do the giving methods include?</t>
  </si>
  <si>
    <t>PGS</t>
  </si>
  <si>
    <t>Parish Giving Scheme, charity giving accounts, payroll giving</t>
  </si>
  <si>
    <t>SO</t>
  </si>
  <si>
    <t>Standing orders</t>
  </si>
  <si>
    <t>Envelope</t>
  </si>
  <si>
    <r>
      <rPr>
        <sz val="11"/>
        <color rgb="FF000000"/>
        <rFont val="Aptos Display"/>
        <family val="2"/>
        <scheme val="major"/>
      </rPr>
      <t xml:space="preserve">Envelopes, regular cheques, pledged </t>
    </r>
    <r>
      <rPr>
        <sz val="11"/>
        <rFont val="Aptos Display"/>
        <family val="2"/>
        <scheme val="major"/>
      </rPr>
      <t>contactless</t>
    </r>
    <r>
      <rPr>
        <sz val="11"/>
        <color rgb="FFFF0000"/>
        <rFont val="Aptos Display"/>
        <family val="2"/>
        <scheme val="major"/>
      </rPr>
      <t xml:space="preserve"> </t>
    </r>
    <r>
      <rPr>
        <sz val="11"/>
        <color rgb="FF000000"/>
        <rFont val="Aptos Display"/>
        <family val="2"/>
        <scheme val="major"/>
      </rPr>
      <t>gifts</t>
    </r>
  </si>
  <si>
    <t>Sense checking the input</t>
  </si>
  <si>
    <t>Are your totals similar?</t>
  </si>
  <si>
    <t>Total giving on this sheet</t>
  </si>
  <si>
    <t>Total planned giving from finance history</t>
  </si>
  <si>
    <t>They don't need to be exactly the same.  But if they are very different, make sure you know why.</t>
  </si>
  <si>
    <t>Calculations will not work fully if you have more than 200 givers.</t>
  </si>
  <si>
    <t>Budget planning</t>
  </si>
  <si>
    <t>Current Year</t>
  </si>
  <si>
    <t>Reporting category</t>
  </si>
  <si>
    <t>Actual</t>
  </si>
  <si>
    <t>Estimate</t>
  </si>
  <si>
    <t>Plan</t>
  </si>
  <si>
    <t>Planned giving</t>
  </si>
  <si>
    <t>Other income</t>
  </si>
  <si>
    <t>Trading income</t>
  </si>
  <si>
    <t>One-off income</t>
  </si>
  <si>
    <t>Resource our ministry &amp; mission</t>
  </si>
  <si>
    <t>Sustain our clergy</t>
  </si>
  <si>
    <t>Maintain our church</t>
  </si>
  <si>
    <t>Enable our projects</t>
  </si>
  <si>
    <t>99.</t>
  </si>
  <si>
    <t>New activity 1</t>
  </si>
  <si>
    <t>New activity 2</t>
  </si>
  <si>
    <t>New activity 3</t>
  </si>
  <si>
    <t>Use of Reserves</t>
  </si>
  <si>
    <t>Use of unrestricted reserves</t>
  </si>
  <si>
    <t>An allocation to invest in planned items or as an appropriate use of resources to assist in balancing the budget</t>
  </si>
  <si>
    <t>Legitimate use of restricted funds</t>
  </si>
  <si>
    <t xml:space="preserve">Overall Surplus/Shortfall  </t>
  </si>
  <si>
    <t>Modelling increases in giving</t>
  </si>
  <si>
    <t>Automated gift array (A ladder of potential gift increases)</t>
  </si>
  <si>
    <t xml:space="preserve">Our target is </t>
  </si>
  <si>
    <t xml:space="preserve">There were </t>
  </si>
  <si>
    <t xml:space="preserve">We can plan for </t>
  </si>
  <si>
    <t>If this many people…</t>
  </si>
  <si>
    <t>…each increase their weekly giving by…</t>
  </si>
  <si>
    <t>…or their monthly giving by…</t>
  </si>
  <si>
    <t>…we will raise extra weekly income</t>
  </si>
  <si>
    <t>People curve</t>
  </si>
  <si>
    <t>Ladder steps</t>
  </si>
  <si>
    <t>Proportions</t>
  </si>
  <si>
    <t>Manual gift array</t>
  </si>
  <si>
    <t xml:space="preserve">Use this manual ladder in the financial analysis report? </t>
  </si>
  <si>
    <t>No</t>
  </si>
  <si>
    <t>GA</t>
  </si>
  <si>
    <t>No GA</t>
  </si>
  <si>
    <t>Gift Aid</t>
  </si>
  <si>
    <t>No Gift Aid</t>
  </si>
  <si>
    <t>Weekly giving</t>
  </si>
  <si>
    <t>Number of givers</t>
  </si>
  <si>
    <t>£ Annual total</t>
  </si>
  <si>
    <t>% Annual total</t>
  </si>
  <si>
    <t>Totals</t>
  </si>
  <si>
    <t>Weekly Mean</t>
  </si>
  <si>
    <t>Weekly Median</t>
  </si>
  <si>
    <t>% of givers</t>
  </si>
  <si>
    <t># of givers</t>
  </si>
  <si>
    <t>Min annual gift size</t>
  </si>
  <si>
    <t>Cumulative annual total</t>
  </si>
  <si>
    <t>% of gifts</t>
  </si>
  <si>
    <t>Age Band</t>
  </si>
  <si>
    <t>Median</t>
  </si>
  <si>
    <t>A</t>
  </si>
  <si>
    <t>B</t>
  </si>
  <si>
    <t>C</t>
  </si>
  <si>
    <t>D</t>
  </si>
  <si>
    <t>Income reporting</t>
  </si>
  <si>
    <t>Giving</t>
  </si>
  <si>
    <t>Expenditure reporting</t>
  </si>
  <si>
    <t>Resource</t>
  </si>
  <si>
    <t>Sustain</t>
  </si>
  <si>
    <t>Maintain</t>
  </si>
  <si>
    <t>Enable</t>
  </si>
  <si>
    <t>Reserves</t>
  </si>
  <si>
    <t>Giving in Grace: Knowing our Numbers Report</t>
  </si>
  <si>
    <t>Our income &amp; expenditure</t>
  </si>
  <si>
    <r>
      <rPr>
        <b/>
        <sz val="10"/>
        <color theme="1"/>
        <rFont val="Aptos Narrow"/>
        <family val="2"/>
        <scheme val="minor"/>
      </rPr>
      <t>Unrestricted</t>
    </r>
    <r>
      <rPr>
        <sz val="10"/>
        <color theme="1"/>
        <rFont val="Aptos Narrow"/>
        <family val="2"/>
        <scheme val="minor"/>
      </rPr>
      <t xml:space="preserve"> includes all General and Designated funds. 
</t>
    </r>
    <r>
      <rPr>
        <b/>
        <sz val="10"/>
        <color theme="1"/>
        <rFont val="Aptos Narrow"/>
        <family val="2"/>
        <scheme val="minor"/>
      </rPr>
      <t>Restricted</t>
    </r>
    <r>
      <rPr>
        <sz val="10"/>
        <color theme="1"/>
        <rFont val="Aptos Narrow"/>
        <family val="2"/>
        <scheme val="minor"/>
      </rPr>
      <t xml:space="preserve"> income is not included in this report, as it can only be used for specified purposes and does not help cover weekly shortfalls.</t>
    </r>
  </si>
  <si>
    <t>Unrestricted Income</t>
  </si>
  <si>
    <t>Unrestricted Expenditure</t>
  </si>
  <si>
    <t>Surplus/Deficit</t>
  </si>
  <si>
    <t>Our levels of reserves</t>
  </si>
  <si>
    <t>These charts give an overview of what is available to the church by way of cashable reserves, which can be used for day to day expenditure on maintenance and the mission of the church. 
Cashable assets include bank accounts, cash in hand, investments such as shares or other assets that could be easily sold.</t>
  </si>
  <si>
    <t>Reserves (cash assets)</t>
  </si>
  <si>
    <t>Our planned giving profile</t>
  </si>
  <si>
    <t xml:space="preserve">This planned giving profile offers an insight into the pattern of giving in our church. </t>
  </si>
  <si>
    <t>Highlights</t>
  </si>
  <si>
    <t>PGS: Parish Giving Scheme, charity giving accounts &amp; payroll giving.  SO: Standing orders.  
Envelope: Envelopes, regular cheques, pledged contactless donations etc.</t>
  </si>
  <si>
    <t>Giving by the few for the many?</t>
  </si>
  <si>
    <t>In many churches, a small number of people underpin a large proportion of the total giving.  The next chart shows to what extent our church is dependent on this small number of givers.  
Look at the percentage of the total amount that is given by the first 10% or 20% of givers (they are sorted by  size of gift, from largest to smallest).  If the top 10% give a high proportion of the total amount, it shows a high dependence on a few large gifts, which could leave us vulnerable.</t>
  </si>
  <si>
    <t>Our financial challenge</t>
  </si>
  <si>
    <t>Whole Year</t>
  </si>
  <si>
    <t>Per Week</t>
  </si>
  <si>
    <t>For the coming year the cost to fund the ministry of this church, including our planned developments, is</t>
  </si>
  <si>
    <t>We estimate our total income - without any increase in giving - to be</t>
  </si>
  <si>
    <t>An increase in giving is a key element of sustaining and developing our ministry. We believe that we need to increase our planned giving by a weekly total of</t>
  </si>
  <si>
    <t xml:space="preserve">The budget on this page anticipates expenditure and income for the coming year (the plan) and sets a financial target expressed in a weekly amount needed to resource our ministry and mission. </t>
  </si>
  <si>
    <t>Our gift array</t>
  </si>
  <si>
    <t>This gift array (or giving increase ladder) offers a range of possible financial responses. People can choose an appropriate amount, which lets us respect the diversity in the personal circumstances and faith journey of those we are inviting to meet our stewardship challenge.   Sharing the gift array with them challenges them to reflect on their own stewardship, and on the appropriate response for them personally.</t>
  </si>
  <si>
    <t>In practice, some people will be able to increase their giving more than we expect, while others may need to decrease their giving.  Some of these "increases" will hopefully be people giving for the first time.</t>
  </si>
  <si>
    <t>Digging Deeper</t>
  </si>
  <si>
    <t>Exploring your giving patterns further</t>
  </si>
  <si>
    <t>Exploring your age giving profile</t>
  </si>
  <si>
    <t>Including restricted monies</t>
  </si>
  <si>
    <t>Amending the gift size ranges</t>
  </si>
  <si>
    <t>Amending the charts further</t>
  </si>
  <si>
    <t>If you would like to analyse giving by age range across your congregation, you can include it in your report.  To do this:</t>
  </si>
  <si>
    <t>Restricted income can only be used for purposes that the original giver specified.  You may wish to include it in your reports to cover specific projects.  To do this:</t>
  </si>
  <si>
    <t>These ranges are used in the graphs that break down giving by the size of gift.  If the current ranges skew your graphs too much, adjust the band sizes here to balance them better.</t>
  </si>
  <si>
    <t>If you know Excel and wish to adapt any of the input or charts to better reflect your data, you can  unprotect each tab for full editing rights, and unhide the Calculations tab.</t>
  </si>
  <si>
    <r>
      <t xml:space="preserve">1. In </t>
    </r>
    <r>
      <rPr>
        <b/>
        <sz val="10"/>
        <color theme="1"/>
        <rFont val="Aptos Display"/>
        <family val="2"/>
        <scheme val="major"/>
      </rPr>
      <t>2b Giving History</t>
    </r>
    <r>
      <rPr>
        <sz val="10"/>
        <color theme="1"/>
        <rFont val="Aptos Display"/>
        <family val="2"/>
        <scheme val="major"/>
      </rPr>
      <t>, use the small + icon above the year headings to display the hidden column for Age band.</t>
    </r>
  </si>
  <si>
    <t>2. Your Treasurer or Gift Aid Officer will need to guesstimate which of the four age ranges below each of your givers belongs to.  This may be easier to do in a separate spreadsheet with names against each giver, before copying the data to anonymise it.</t>
  </si>
  <si>
    <r>
      <t xml:space="preserve">1. In </t>
    </r>
    <r>
      <rPr>
        <b/>
        <sz val="10"/>
        <rFont val="Aptos Display"/>
        <family val="2"/>
        <scheme val="major"/>
      </rPr>
      <t>2a Finance History</t>
    </r>
    <r>
      <rPr>
        <sz val="10"/>
        <rFont val="Aptos Display"/>
        <family val="2"/>
        <scheme val="major"/>
      </rPr>
      <t>, use the small + icons above the year headings to display the hidden columns for Restricted and Total giving.</t>
    </r>
  </si>
  <si>
    <t>You may also need to unprotect the workbook itself.</t>
  </si>
  <si>
    <t>Band size</t>
  </si>
  <si>
    <t>from</t>
  </si>
  <si>
    <t>to</t>
  </si>
  <si>
    <r>
      <t xml:space="preserve">2. Use </t>
    </r>
    <r>
      <rPr>
        <b/>
        <sz val="10"/>
        <rFont val="Aptos Display"/>
        <family val="2"/>
        <scheme val="major"/>
      </rPr>
      <t>5b Report with Restricted Funds</t>
    </r>
    <r>
      <rPr>
        <sz val="10"/>
        <rFont val="Aptos Display"/>
        <family val="2"/>
        <scheme val="major"/>
      </rPr>
      <t xml:space="preserve"> instead of (or alongside)</t>
    </r>
    <r>
      <rPr>
        <b/>
        <sz val="10"/>
        <rFont val="Aptos Display"/>
        <family val="2"/>
        <scheme val="major"/>
      </rPr>
      <t xml:space="preserve"> 4 Print Report</t>
    </r>
    <r>
      <rPr>
        <sz val="10"/>
        <rFont val="Aptos Display"/>
        <family val="2"/>
        <scheme val="major"/>
      </rPr>
      <t>.</t>
    </r>
  </si>
  <si>
    <t>18 to 29</t>
  </si>
  <si>
    <t>30 to 49</t>
  </si>
  <si>
    <t>50 to 69</t>
  </si>
  <si>
    <t>Average per week</t>
  </si>
  <si>
    <t>70 +</t>
  </si>
  <si>
    <t>Method</t>
  </si>
  <si>
    <t>Overall</t>
  </si>
  <si>
    <r>
      <t>3. Use</t>
    </r>
    <r>
      <rPr>
        <b/>
        <sz val="10"/>
        <rFont val="Aptos Display"/>
        <family val="2"/>
        <scheme val="major"/>
      </rPr>
      <t xml:space="preserve"> 5b Report with Age Bands</t>
    </r>
    <r>
      <rPr>
        <sz val="10"/>
        <rFont val="Aptos Display"/>
        <family val="2"/>
        <scheme val="major"/>
      </rPr>
      <t xml:space="preserve"> instead of </t>
    </r>
    <r>
      <rPr>
        <b/>
        <sz val="10"/>
        <rFont val="Aptos Display"/>
        <family val="2"/>
        <scheme val="major"/>
      </rPr>
      <t>4 Print Report</t>
    </r>
    <r>
      <rPr>
        <sz val="10"/>
        <rFont val="Aptos Display"/>
        <family val="2"/>
        <scheme val="major"/>
      </rPr>
      <t>.</t>
    </r>
  </si>
  <si>
    <t xml:space="preserve">This planned giving profile offers an insight into the pattern of giving in our church. 
TEPG (tax-efficient planned giving) refers to those who Gift Aid their giving.
OPG (other planned giving) refers to those who do not or cannot Gift Aid their gifts. </t>
  </si>
  <si>
    <t>Exploring the age patterns</t>
  </si>
  <si>
    <t>In many churches, giving is weighted towards the older members of the congregation.  Partly, there tend to be more older people and they have a long history of regular, planned giving to the church, so make up a greater number of planned givers.  But if we are overly weighted to our older givers, we can leave our church vulnerable.</t>
  </si>
  <si>
    <t>The budget on this page anticipates expenditure and income for the coming year (the plan) and sets a financial target expressed in a weekly amount needed to resource our ministry and mission. 
The required increase in giving is in the Gift Array Target shown on the next page.</t>
  </si>
  <si>
    <r>
      <rPr>
        <b/>
        <sz val="10"/>
        <color theme="1"/>
        <rFont val="Aptos Narrow"/>
        <family val="2"/>
        <scheme val="minor"/>
      </rPr>
      <t>Unrestricted</t>
    </r>
    <r>
      <rPr>
        <sz val="10"/>
        <color theme="1"/>
        <rFont val="Aptos Narrow"/>
        <family val="2"/>
        <scheme val="minor"/>
      </rPr>
      <t xml:space="preserve"> includes all General and Designated funds. 
</t>
    </r>
    <r>
      <rPr>
        <b/>
        <sz val="10"/>
        <color theme="1"/>
        <rFont val="Aptos Narrow"/>
        <family val="2"/>
        <scheme val="minor"/>
      </rPr>
      <t>Restricted</t>
    </r>
    <r>
      <rPr>
        <sz val="10"/>
        <color theme="1"/>
        <rFont val="Aptos Narrow"/>
        <family val="2"/>
        <scheme val="minor"/>
      </rPr>
      <t xml:space="preserve"> income is included in this report, but it can only be used for specified purposes and does not help cover general weekly shortfalls.</t>
    </r>
  </si>
  <si>
    <t>Unrestricted reserves</t>
  </si>
  <si>
    <t>Restricted reserves</t>
  </si>
  <si>
    <t>You can use this table to look more deeply at the correlation between giving method and Gift Aid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</si>
</sst>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5" formatCode="_-* #,##0_-;\-* #,##0_-;_-* &quot;-&quot;_-;_-@_-"/>
    <numFmt numFmtId="166" formatCode="_-&quot;£&quot;* #,##0.00_-;\-&quot;£&quot;* #,##0.00_-;_-&quot;£&quot;* &quot;-&quot;??_-;_-@_-"/>
    <numFmt numFmtId="167" formatCode="#,##0_ ;[Red]\-#,##0\ "/>
    <numFmt numFmtId="168" formatCode="&quot;£&quot;#,##0"/>
    <numFmt numFmtId="169" formatCode="0_ ;[Red]\-0\ "/>
    <numFmt numFmtId="170" formatCode="&quot;£&quot;#,##0.00"/>
    <numFmt numFmtId="171" formatCode="0.0"/>
  </numFmts>
  <fonts count="84" x14ac:knownFonts="1">
    <font>
      <sz val="10"/>
      <color theme="1"/>
      <name val="Verdana"/>
      <family val="2"/>
    </font>
    <font>
      <sz val="11"/>
      <color theme="1"/>
      <name val="Aptos Narrow"/>
      <family val="2"/>
      <scheme val="minor"/>
    </font>
    <font>
      <sz val="11"/>
      <color theme="1"/>
      <name val="Aptos Narrow"/>
      <family val="2"/>
      <scheme val="minor"/>
    </font>
    <font>
      <sz val="11"/>
      <color theme="1"/>
      <name val="Verdana"/>
      <family val="2"/>
    </font>
    <font>
      <b/>
      <sz val="11"/>
      <color theme="1"/>
      <name val="Aptos Narrow"/>
      <family val="2"/>
      <scheme val="minor"/>
    </font>
    <font>
      <sz val="10"/>
      <name val="Arial"/>
      <family val="2"/>
    </font>
    <font>
      <b/>
      <sz val="10"/>
      <name val="Arial"/>
      <family val="2"/>
    </font>
    <font>
      <b/>
      <sz val="11"/>
      <name val="Arial"/>
      <family val="2"/>
    </font>
    <font>
      <sz val="10"/>
      <name val="Arial"/>
      <family val="2"/>
    </font>
    <font>
      <sz val="10"/>
      <name val="Verdana"/>
      <family val="2"/>
    </font>
    <font>
      <sz val="10"/>
      <name val="Aptos Narrow"/>
      <family val="2"/>
      <scheme val="minor"/>
    </font>
    <font>
      <b/>
      <sz val="10"/>
      <name val="Aptos Narrow"/>
      <family val="2"/>
      <scheme val="minor"/>
    </font>
    <font>
      <b/>
      <sz val="10"/>
      <color theme="1"/>
      <name val="Verdana"/>
      <family val="2"/>
    </font>
    <font>
      <u/>
      <sz val="10"/>
      <color theme="10"/>
      <name val="Verdana"/>
      <family val="2"/>
    </font>
    <font>
      <sz val="11"/>
      <name val="Arial"/>
      <family val="2"/>
    </font>
    <font>
      <b/>
      <sz val="9"/>
      <name val="Arial"/>
      <family val="2"/>
    </font>
    <font>
      <b/>
      <sz val="12"/>
      <name val="Arial"/>
      <family val="2"/>
    </font>
    <font>
      <sz val="10"/>
      <color theme="1"/>
      <name val="Verdana"/>
      <family val="2"/>
    </font>
    <font>
      <sz val="10"/>
      <color theme="8" tint="-0.249977111117893"/>
      <name val="Arial"/>
      <family val="2"/>
    </font>
    <font>
      <sz val="10"/>
      <color theme="1"/>
      <name val="Arial"/>
      <family val="2"/>
    </font>
    <font>
      <sz val="11"/>
      <color theme="1"/>
      <name val="Arial"/>
      <family val="2"/>
    </font>
    <font>
      <sz val="8"/>
      <name val="Verdana"/>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0"/>
      <color theme="1"/>
      <name val="Aptos Narrow"/>
      <family val="2"/>
      <scheme val="minor"/>
    </font>
    <font>
      <b/>
      <sz val="10"/>
      <color theme="1"/>
      <name val="Aptos Narrow"/>
      <family val="2"/>
      <scheme val="minor"/>
    </font>
    <font>
      <sz val="10"/>
      <color rgb="FF000000"/>
      <name val="Aptos Narrow"/>
      <family val="2"/>
      <scheme val="minor"/>
    </font>
    <font>
      <sz val="9"/>
      <name val="Aptos Narrow"/>
      <family val="2"/>
      <scheme val="minor"/>
    </font>
    <font>
      <b/>
      <sz val="11"/>
      <name val="Aptos Narrow"/>
      <family val="2"/>
      <scheme val="minor"/>
    </font>
    <font>
      <sz val="10"/>
      <color theme="1"/>
      <name val="Aptos Display"/>
      <family val="2"/>
      <scheme val="major"/>
    </font>
    <font>
      <sz val="10"/>
      <name val="Aptos Display"/>
      <family val="2"/>
      <scheme val="major"/>
    </font>
    <font>
      <b/>
      <sz val="10"/>
      <color theme="1"/>
      <name val="Aptos Display"/>
      <family val="2"/>
      <scheme val="major"/>
    </font>
    <font>
      <i/>
      <sz val="11"/>
      <color rgb="FF747474"/>
      <name val="Aptos Narrow"/>
      <family val="2"/>
      <scheme val="minor"/>
    </font>
    <font>
      <sz val="14"/>
      <color theme="3"/>
      <name val="Aptos Display"/>
      <family val="2"/>
      <scheme val="major"/>
    </font>
    <font>
      <b/>
      <sz val="10"/>
      <color theme="2" tint="-0.749992370372631"/>
      <name val="Verdana"/>
      <family val="2"/>
    </font>
    <font>
      <i/>
      <sz val="11"/>
      <color theme="2" tint="-0.499984740745262"/>
      <name val="Aptos Narrow"/>
      <family val="2"/>
      <scheme val="minor"/>
    </font>
    <font>
      <sz val="11"/>
      <color theme="1"/>
      <name val="Aptos"/>
      <family val="2"/>
    </font>
    <font>
      <b/>
      <sz val="11"/>
      <color theme="1"/>
      <name val="Aptos"/>
      <family val="2"/>
    </font>
    <font>
      <sz val="11"/>
      <name val="Aptos"/>
      <family val="2"/>
    </font>
    <font>
      <sz val="11"/>
      <color rgb="FF000000"/>
      <name val="Aptos"/>
      <family val="2"/>
    </font>
    <font>
      <b/>
      <sz val="11"/>
      <name val="Aptos Display"/>
      <family val="2"/>
      <scheme val="major"/>
    </font>
    <font>
      <sz val="11"/>
      <name val="Aptos Display"/>
      <family val="2"/>
      <scheme val="major"/>
    </font>
    <font>
      <b/>
      <sz val="11"/>
      <color theme="1"/>
      <name val="Aptos Display"/>
      <family val="2"/>
      <scheme val="major"/>
    </font>
    <font>
      <b/>
      <sz val="11"/>
      <color theme="2" tint="-0.749992370372631"/>
      <name val="Aptos Display"/>
      <family val="2"/>
      <scheme val="major"/>
    </font>
    <font>
      <sz val="11"/>
      <color theme="2" tint="-0.749992370372631"/>
      <name val="Aptos Display"/>
      <family val="2"/>
      <scheme val="major"/>
    </font>
    <font>
      <b/>
      <sz val="12"/>
      <color theme="3"/>
      <name val="Aptos Narrow"/>
      <family val="2"/>
      <scheme val="minor"/>
    </font>
    <font>
      <sz val="12"/>
      <color theme="1"/>
      <name val="Aptos Narrow"/>
      <family val="2"/>
      <scheme val="minor"/>
    </font>
    <font>
      <sz val="12"/>
      <color theme="1"/>
      <name val="Verdana"/>
      <family val="2"/>
    </font>
    <font>
      <b/>
      <sz val="12"/>
      <color theme="2" tint="-0.499984740745262"/>
      <name val="Aptos Narrow"/>
      <family val="2"/>
      <scheme val="minor"/>
    </font>
    <font>
      <b/>
      <sz val="12"/>
      <color theme="1"/>
      <name val="Aptos Narrow"/>
      <family val="2"/>
      <scheme val="minor"/>
    </font>
    <font>
      <sz val="14"/>
      <color theme="1"/>
      <name val="Verdana"/>
      <family val="2"/>
    </font>
    <font>
      <i/>
      <sz val="14"/>
      <color theme="2" tint="-0.499984740745262"/>
      <name val="Aptos Narrow"/>
      <family val="2"/>
      <scheme val="minor"/>
    </font>
    <font>
      <b/>
      <sz val="15"/>
      <color theme="1"/>
      <name val="Aptos Narrow"/>
      <family val="2"/>
      <scheme val="minor"/>
    </font>
    <font>
      <i/>
      <sz val="10"/>
      <color theme="1"/>
      <name val="Aptos Narrow"/>
      <family val="2"/>
      <scheme val="minor"/>
    </font>
    <font>
      <sz val="11"/>
      <color theme="1"/>
      <name val="Aptos Display"/>
      <family val="2"/>
      <scheme val="major"/>
    </font>
    <font>
      <i/>
      <sz val="10"/>
      <name val="Aptos Narrow"/>
      <family val="2"/>
      <scheme val="minor"/>
    </font>
    <font>
      <b/>
      <sz val="12"/>
      <name val="Aptos Narrow"/>
      <family val="2"/>
      <scheme val="minor"/>
    </font>
    <font>
      <sz val="12"/>
      <name val="Aptos Narrow"/>
      <family val="2"/>
      <scheme val="minor"/>
    </font>
    <font>
      <b/>
      <sz val="12"/>
      <name val="Aptos"/>
      <family val="2"/>
    </font>
    <font>
      <sz val="10"/>
      <color theme="3"/>
      <name val="Aptos Display"/>
      <family val="2"/>
      <scheme val="major"/>
    </font>
    <font>
      <sz val="10"/>
      <color rgb="FF51FF5E"/>
      <name val="Arial"/>
      <family val="2"/>
    </font>
    <font>
      <sz val="11"/>
      <color theme="3"/>
      <name val="Aptos Display"/>
      <family val="2"/>
      <scheme val="major"/>
    </font>
    <font>
      <i/>
      <sz val="12"/>
      <color theme="3"/>
      <name val="Aptos Narrow"/>
      <family val="2"/>
      <scheme val="minor"/>
    </font>
    <font>
      <b/>
      <sz val="14"/>
      <color rgb="FF0070C0"/>
      <name val="Aptos Narrow"/>
      <family val="2"/>
      <scheme val="minor"/>
    </font>
    <font>
      <i/>
      <sz val="9"/>
      <color theme="1"/>
      <name val="Aptos Display"/>
      <family val="2"/>
      <scheme val="major"/>
    </font>
    <font>
      <sz val="10"/>
      <color theme="1" tint="0.34998626667073579"/>
      <name val="Verdana"/>
      <family val="2"/>
    </font>
    <font>
      <i/>
      <sz val="10"/>
      <color theme="1" tint="0.34998626667073579"/>
      <name val="Aptos Display"/>
      <family val="2"/>
      <scheme val="major"/>
    </font>
    <font>
      <b/>
      <sz val="10"/>
      <color theme="7" tint="-0.749992370372631"/>
      <name val="Aptos Narrow"/>
      <family val="2"/>
      <scheme val="minor"/>
    </font>
    <font>
      <i/>
      <sz val="11"/>
      <color theme="2" tint="-0.749992370372631"/>
      <name val="Aptos Narrow"/>
      <family val="2"/>
      <scheme val="minor"/>
    </font>
    <font>
      <i/>
      <sz val="10"/>
      <color rgb="FF000000"/>
      <name val="Aptos Narrow"/>
      <family val="2"/>
      <scheme val="minor"/>
    </font>
    <font>
      <sz val="11"/>
      <color rgb="FF000000"/>
      <name val="Aptos Display"/>
      <family val="2"/>
      <scheme val="major"/>
    </font>
    <font>
      <sz val="11"/>
      <color rgb="FFFF0000"/>
      <name val="Aptos Display"/>
      <family val="2"/>
      <scheme val="major"/>
    </font>
    <font>
      <b/>
      <sz val="10"/>
      <name val="Aptos Display"/>
      <family val="2"/>
      <scheme val="major"/>
    </font>
    <font>
      <sz val="11"/>
      <name val="Aptos Narrow"/>
      <family val="2"/>
      <scheme val="minor"/>
    </font>
    <font>
      <i/>
      <sz val="10"/>
      <color theme="1"/>
      <name val="Verdana"/>
      <family val="2"/>
    </font>
    <font>
      <i/>
      <sz val="11"/>
      <name val="Aptos Display"/>
      <family val="2"/>
      <scheme val="major"/>
    </font>
    <font>
      <sz val="10"/>
      <color theme="1" tint="0.34998626667073579"/>
      <name val="Wingdings"/>
      <charset val="2"/>
    </font>
    <font>
      <i/>
      <sz val="9"/>
      <color theme="1"/>
      <name val="Aptos Narrow"/>
      <family val="2"/>
      <scheme val="minor"/>
    </font>
    <font>
      <i/>
      <sz val="11"/>
      <color theme="2" tint="-0.499984740745262"/>
      <name val="Aptos"/>
      <family val="2"/>
    </font>
    <font>
      <b/>
      <sz val="11"/>
      <name val="Aptos"/>
      <family val="2"/>
    </font>
    <font>
      <sz val="10"/>
      <color theme="1"/>
      <name val="Aptos Narrow"/>
      <scheme val="minor"/>
    </font>
    <font>
      <b/>
      <sz val="10"/>
      <color theme="1"/>
      <name val="Aptos Narrow"/>
      <scheme val="minor"/>
    </font>
  </fonts>
  <fills count="1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9.9978637043366805E-2"/>
        <bgColor indexed="64"/>
      </patternFill>
    </fill>
    <fill>
      <patternFill patternType="solid">
        <fgColor theme="7" tint="-0.249977111117893"/>
        <bgColor indexed="64"/>
      </patternFill>
    </fill>
    <fill>
      <patternFill patternType="solid">
        <fgColor theme="4" tint="0.79998168889431442"/>
        <bgColor theme="4" tint="0.79998168889431442"/>
      </patternFill>
    </fill>
  </fills>
  <borders count="43">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top style="thick">
        <color theme="4"/>
      </top>
      <bottom/>
      <diagonal/>
    </border>
    <border>
      <left/>
      <right/>
      <top/>
      <bottom style="double">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thin">
        <color indexed="64"/>
      </right>
      <top/>
      <bottom/>
      <diagonal/>
    </border>
    <border>
      <left style="thin">
        <color theme="2" tint="-0.749961851863155"/>
      </left>
      <right style="thin">
        <color theme="2" tint="-0.749961851863155"/>
      </right>
      <top style="thin">
        <color theme="2" tint="-0.749961851863155"/>
      </top>
      <bottom style="thin">
        <color theme="2" tint="-0.749961851863155"/>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top/>
      <bottom/>
      <diagonal/>
    </border>
    <border>
      <left/>
      <right/>
      <top/>
      <bottom style="thin">
        <color indexed="64"/>
      </bottom>
      <diagonal/>
    </border>
    <border>
      <left/>
      <right/>
      <top style="medium">
        <color theme="4" tint="0.39997558519241921"/>
      </top>
      <bottom/>
      <diagonal/>
    </border>
    <border>
      <left style="thin">
        <color theme="0"/>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theme="4" tint="0.499984740745262"/>
      </top>
      <bottom/>
      <diagonal/>
    </border>
    <border>
      <left style="thin">
        <color theme="0" tint="-0.499984740745262"/>
      </left>
      <right style="thin">
        <color theme="0" tint="-0.499984740745262"/>
      </right>
      <top style="thin">
        <color theme="0" tint="-0.499984740745262"/>
      </top>
      <bottom style="double">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top/>
      <bottom style="thin">
        <color theme="4" tint="0.39997558519241921"/>
      </bottom>
      <diagonal/>
    </border>
    <border>
      <left/>
      <right/>
      <top style="thin">
        <color theme="4" tint="0.39997558519241921"/>
      </top>
      <bottom/>
      <diagonal/>
    </border>
  </borders>
  <cellStyleXfs count="16">
    <xf numFmtId="0" fontId="0" fillId="0" borderId="0"/>
    <xf numFmtId="0" fontId="2" fillId="0" borderId="0"/>
    <xf numFmtId="0" fontId="5" fillId="0" borderId="0"/>
    <xf numFmtId="166" fontId="5" fillId="0" borderId="0" applyFont="0" applyFill="0" applyBorder="0" applyAlignment="0" applyProtection="0"/>
    <xf numFmtId="0" fontId="8" fillId="0" borderId="0"/>
    <xf numFmtId="9" fontId="5" fillId="0" borderId="0" applyFont="0" applyFill="0" applyBorder="0" applyAlignment="0" applyProtection="0"/>
    <xf numFmtId="0" fontId="13" fillId="0" borderId="0" applyNumberFormat="0" applyFill="0" applyBorder="0" applyAlignment="0" applyProtection="0"/>
    <xf numFmtId="9" fontId="17" fillId="0" borderId="0" applyFon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37" fillId="0" borderId="0" applyNumberFormat="0" applyFill="0" applyBorder="0" applyAlignment="0" applyProtection="0"/>
    <xf numFmtId="0" fontId="17" fillId="2" borderId="8" applyNumberFormat="0" applyAlignment="0">
      <protection locked="0"/>
    </xf>
    <xf numFmtId="0" fontId="25" fillId="0" borderId="0" applyNumberFormat="0" applyFill="0" applyBorder="0" applyAlignment="0" applyProtection="0"/>
    <xf numFmtId="0" fontId="1" fillId="0" borderId="0"/>
  </cellStyleXfs>
  <cellXfs count="430">
    <xf numFmtId="0" fontId="0" fillId="0" borderId="0" xfId="0"/>
    <xf numFmtId="167" fontId="2" fillId="0" borderId="0" xfId="1" applyNumberFormat="1"/>
    <xf numFmtId="0" fontId="5" fillId="0" borderId="0" xfId="2"/>
    <xf numFmtId="167" fontId="2" fillId="0" borderId="0" xfId="1" applyNumberFormat="1" applyAlignment="1">
      <alignment horizontal="center" vertical="center"/>
    </xf>
    <xf numFmtId="167" fontId="4" fillId="0" borderId="0" xfId="1" applyNumberFormat="1" applyFont="1"/>
    <xf numFmtId="0" fontId="13" fillId="0" borderId="0" xfId="6" applyProtection="1">
      <protection locked="0"/>
    </xf>
    <xf numFmtId="0" fontId="0" fillId="0" borderId="0" xfId="0" applyAlignment="1">
      <alignment vertical="center"/>
    </xf>
    <xf numFmtId="168" fontId="5" fillId="0" borderId="0" xfId="2" applyNumberFormat="1"/>
    <xf numFmtId="0" fontId="19" fillId="0" borderId="0" xfId="2" applyFont="1"/>
    <xf numFmtId="171" fontId="19" fillId="0" borderId="0" xfId="2" applyNumberFormat="1" applyFont="1"/>
    <xf numFmtId="9" fontId="19" fillId="0" borderId="0" xfId="7" applyFont="1"/>
    <xf numFmtId="168" fontId="19" fillId="0" borderId="0" xfId="2" applyNumberFormat="1" applyFont="1"/>
    <xf numFmtId="0" fontId="4" fillId="0" borderId="0" xfId="1" applyFont="1" applyAlignment="1">
      <alignment wrapText="1"/>
    </xf>
    <xf numFmtId="9" fontId="19" fillId="0" borderId="0" xfId="2" applyNumberFormat="1" applyFont="1"/>
    <xf numFmtId="0" fontId="9" fillId="0" borderId="0" xfId="4" applyFont="1"/>
    <xf numFmtId="0" fontId="37" fillId="0" borderId="0" xfId="12" applyBorder="1" applyAlignment="1" applyProtection="1">
      <alignment wrapText="1"/>
    </xf>
    <xf numFmtId="0" fontId="22" fillId="0" borderId="0" xfId="8" applyAlignment="1" applyProtection="1">
      <alignment vertical="center" wrapText="1"/>
    </xf>
    <xf numFmtId="0" fontId="2" fillId="0" borderId="0" xfId="1" applyAlignment="1">
      <alignment vertical="center"/>
    </xf>
    <xf numFmtId="167" fontId="2" fillId="0" borderId="0" xfId="1" applyNumberFormat="1" applyAlignment="1">
      <alignment vertical="center"/>
    </xf>
    <xf numFmtId="0" fontId="2" fillId="0" borderId="0" xfId="1"/>
    <xf numFmtId="0" fontId="4" fillId="0" borderId="0" xfId="1" applyFont="1" applyAlignment="1">
      <alignment horizontal="right" wrapText="1"/>
    </xf>
    <xf numFmtId="0" fontId="2" fillId="0" borderId="0" xfId="1" applyAlignment="1">
      <alignment wrapText="1"/>
    </xf>
    <xf numFmtId="168" fontId="2" fillId="0" borderId="0" xfId="1" applyNumberFormat="1"/>
    <xf numFmtId="0" fontId="26" fillId="0" borderId="0" xfId="1" applyFont="1" applyAlignment="1">
      <alignment wrapText="1"/>
    </xf>
    <xf numFmtId="165" fontId="26" fillId="0" borderId="0" xfId="1" applyNumberFormat="1" applyFont="1" applyAlignment="1">
      <alignment horizontal="right"/>
    </xf>
    <xf numFmtId="0" fontId="17" fillId="0" borderId="0" xfId="4" applyFont="1"/>
    <xf numFmtId="0" fontId="17" fillId="0" borderId="0" xfId="4" applyFont="1" applyAlignment="1">
      <alignment horizontal="center" vertical="center"/>
    </xf>
    <xf numFmtId="0" fontId="12" fillId="0" borderId="0" xfId="4" applyFont="1"/>
    <xf numFmtId="0" fontId="25" fillId="0" borderId="11" xfId="11" applyAlignment="1" applyProtection="1">
      <alignment horizontal="center" vertical="center" wrapText="1"/>
    </xf>
    <xf numFmtId="0" fontId="17" fillId="0" borderId="0" xfId="4" applyFont="1" applyAlignment="1">
      <alignment vertical="center"/>
    </xf>
    <xf numFmtId="1" fontId="19" fillId="0" borderId="0" xfId="2" applyNumberFormat="1" applyFont="1"/>
    <xf numFmtId="9" fontId="5" fillId="0" borderId="0" xfId="7" applyFont="1" applyFill="1" applyBorder="1" applyAlignment="1"/>
    <xf numFmtId="171" fontId="19" fillId="0" borderId="0" xfId="2" applyNumberFormat="1" applyFont="1" applyAlignment="1">
      <alignment horizontal="right"/>
    </xf>
    <xf numFmtId="168" fontId="19" fillId="0" borderId="0" xfId="7" applyNumberFormat="1" applyFont="1" applyFill="1"/>
    <xf numFmtId="9" fontId="19" fillId="0" borderId="0" xfId="7" applyFont="1" applyFill="1"/>
    <xf numFmtId="0" fontId="10" fillId="0" borderId="0" xfId="2" applyFont="1"/>
    <xf numFmtId="169" fontId="4" fillId="0" borderId="0" xfId="1" applyNumberFormat="1" applyFont="1" applyAlignment="1">
      <alignment horizontal="center"/>
    </xf>
    <xf numFmtId="167" fontId="37" fillId="0" borderId="0" xfId="12" applyNumberFormat="1" applyAlignment="1">
      <alignment vertical="center"/>
    </xf>
    <xf numFmtId="167" fontId="37" fillId="0" borderId="0" xfId="12" applyNumberFormat="1"/>
    <xf numFmtId="3" fontId="10" fillId="0" borderId="0" xfId="2" applyNumberFormat="1" applyFont="1"/>
    <xf numFmtId="0" fontId="11" fillId="0" borderId="0" xfId="2" applyFont="1" applyAlignment="1">
      <alignment horizontal="right"/>
    </xf>
    <xf numFmtId="3" fontId="30" fillId="0" borderId="0" xfId="2" applyNumberFormat="1" applyFont="1"/>
    <xf numFmtId="3" fontId="11" fillId="0" borderId="0" xfId="2" applyNumberFormat="1" applyFont="1" applyAlignment="1">
      <alignment horizontal="right"/>
    </xf>
    <xf numFmtId="0" fontId="29" fillId="0" borderId="0" xfId="2" applyFont="1"/>
    <xf numFmtId="0" fontId="0" fillId="0" borderId="0" xfId="0" applyAlignment="1">
      <alignment wrapText="1"/>
    </xf>
    <xf numFmtId="0" fontId="0" fillId="0" borderId="0" xfId="0" applyAlignment="1">
      <alignment horizontal="center"/>
    </xf>
    <xf numFmtId="0" fontId="26" fillId="0" borderId="0" xfId="0" applyFont="1"/>
    <xf numFmtId="168" fontId="26" fillId="0" borderId="0" xfId="0" applyNumberFormat="1" applyFont="1"/>
    <xf numFmtId="0" fontId="0" fillId="0" borderId="0" xfId="0" applyAlignment="1">
      <alignment vertical="top"/>
    </xf>
    <xf numFmtId="0" fontId="31" fillId="0" borderId="0" xfId="0" applyFont="1"/>
    <xf numFmtId="168" fontId="31" fillId="0" borderId="0" xfId="0" applyNumberFormat="1" applyFont="1"/>
    <xf numFmtId="0" fontId="31" fillId="0" borderId="0" xfId="0" applyFont="1" applyAlignment="1">
      <alignment wrapText="1"/>
    </xf>
    <xf numFmtId="0" fontId="30" fillId="0" borderId="0" xfId="2" applyFont="1" applyAlignment="1">
      <alignment horizontal="right"/>
    </xf>
    <xf numFmtId="0" fontId="4" fillId="0" borderId="0" xfId="0" applyFont="1" applyAlignment="1">
      <alignment horizontal="right"/>
    </xf>
    <xf numFmtId="170" fontId="31" fillId="0" borderId="17" xfId="0" applyNumberFormat="1" applyFont="1" applyBorder="1"/>
    <xf numFmtId="0" fontId="31" fillId="0" borderId="18" xfId="0" applyFont="1" applyBorder="1"/>
    <xf numFmtId="170" fontId="31" fillId="0" borderId="20" xfId="0" applyNumberFormat="1" applyFont="1" applyBorder="1"/>
    <xf numFmtId="0" fontId="31" fillId="0" borderId="21" xfId="0" applyFont="1" applyBorder="1"/>
    <xf numFmtId="167" fontId="34" fillId="0" borderId="0" xfId="12" applyNumberFormat="1" applyFont="1"/>
    <xf numFmtId="168" fontId="31" fillId="3" borderId="19" xfId="0" applyNumberFormat="1" applyFont="1" applyFill="1" applyBorder="1"/>
    <xf numFmtId="168" fontId="31" fillId="3" borderId="22" xfId="0" applyNumberFormat="1" applyFont="1" applyFill="1" applyBorder="1"/>
    <xf numFmtId="0" fontId="22" fillId="0" borderId="0" xfId="8" applyNumberFormat="1" applyAlignment="1" applyProtection="1">
      <alignment horizontal="center"/>
    </xf>
    <xf numFmtId="0" fontId="35" fillId="0" borderId="0" xfId="8" applyFont="1" applyAlignment="1" applyProtection="1">
      <alignment horizontal="center"/>
    </xf>
    <xf numFmtId="0" fontId="0" fillId="3" borderId="0" xfId="0" applyFill="1"/>
    <xf numFmtId="0" fontId="0" fillId="0" borderId="0" xfId="0" applyAlignment="1">
      <alignment horizontal="center" vertical="top"/>
    </xf>
    <xf numFmtId="0" fontId="37" fillId="0" borderId="0" xfId="12" applyAlignment="1" applyProtection="1">
      <alignment horizontal="center" vertical="top" wrapText="1"/>
    </xf>
    <xf numFmtId="0" fontId="13" fillId="0" borderId="0" xfId="6" applyProtection="1"/>
    <xf numFmtId="0" fontId="22" fillId="0" borderId="0" xfId="8" applyProtection="1"/>
    <xf numFmtId="0" fontId="3" fillId="0" borderId="0" xfId="1" applyFont="1"/>
    <xf numFmtId="2" fontId="5" fillId="0" borderId="0" xfId="2" applyNumberFormat="1"/>
    <xf numFmtId="0" fontId="5" fillId="0" borderId="0" xfId="2" applyAlignment="1">
      <alignment vertical="top"/>
    </xf>
    <xf numFmtId="0" fontId="14" fillId="0" borderId="0" xfId="2" applyFont="1" applyAlignment="1">
      <alignment horizontal="center" vertical="center"/>
    </xf>
    <xf numFmtId="0" fontId="13" fillId="0" borderId="0" xfId="6" applyAlignment="1" applyProtection="1"/>
    <xf numFmtId="170" fontId="19" fillId="0" borderId="0" xfId="2" applyNumberFormat="1" applyFont="1"/>
    <xf numFmtId="170" fontId="5" fillId="0" borderId="0" xfId="2" applyNumberFormat="1"/>
    <xf numFmtId="168" fontId="26" fillId="10" borderId="0" xfId="0" applyNumberFormat="1" applyFont="1" applyFill="1"/>
    <xf numFmtId="168" fontId="26" fillId="6" borderId="0" xfId="0" applyNumberFormat="1" applyFont="1" applyFill="1"/>
    <xf numFmtId="168" fontId="26" fillId="7" borderId="0" xfId="0" applyNumberFormat="1" applyFont="1" applyFill="1"/>
    <xf numFmtId="168" fontId="27" fillId="7" borderId="14" xfId="0" applyNumberFormat="1" applyFont="1" applyFill="1" applyBorder="1"/>
    <xf numFmtId="164" fontId="27" fillId="7" borderId="2" xfId="0" applyNumberFormat="1" applyFont="1" applyFill="1" applyBorder="1"/>
    <xf numFmtId="168" fontId="27" fillId="8" borderId="14" xfId="0" applyNumberFormat="1" applyFont="1" applyFill="1" applyBorder="1"/>
    <xf numFmtId="164" fontId="27" fillId="8" borderId="2" xfId="0" applyNumberFormat="1" applyFont="1" applyFill="1" applyBorder="1"/>
    <xf numFmtId="168" fontId="27" fillId="11" borderId="14" xfId="0" applyNumberFormat="1" applyFont="1" applyFill="1" applyBorder="1"/>
    <xf numFmtId="164" fontId="27" fillId="11" borderId="2" xfId="0" applyNumberFormat="1" applyFont="1" applyFill="1" applyBorder="1"/>
    <xf numFmtId="0" fontId="31" fillId="9" borderId="15" xfId="0" applyFont="1" applyFill="1" applyBorder="1" applyAlignment="1">
      <alignment horizontal="center" wrapText="1"/>
    </xf>
    <xf numFmtId="0" fontId="31" fillId="9" borderId="16" xfId="0" applyFont="1" applyFill="1" applyBorder="1" applyAlignment="1">
      <alignment horizontal="center" wrapText="1"/>
    </xf>
    <xf numFmtId="170" fontId="31" fillId="13" borderId="17" xfId="0" applyNumberFormat="1" applyFont="1" applyFill="1" applyBorder="1"/>
    <xf numFmtId="0" fontId="31" fillId="13" borderId="18" xfId="0" applyFont="1" applyFill="1" applyBorder="1"/>
    <xf numFmtId="0" fontId="33" fillId="11" borderId="14" xfId="0" applyFont="1" applyFill="1" applyBorder="1"/>
    <xf numFmtId="168" fontId="33" fillId="11" borderId="14" xfId="0" applyNumberFormat="1" applyFont="1" applyFill="1" applyBorder="1"/>
    <xf numFmtId="168" fontId="31" fillId="14" borderId="19" xfId="0" applyNumberFormat="1" applyFont="1" applyFill="1" applyBorder="1"/>
    <xf numFmtId="168" fontId="31" fillId="0" borderId="18" xfId="0" applyNumberFormat="1" applyFont="1" applyBorder="1"/>
    <xf numFmtId="168" fontId="31" fillId="13" borderId="18" xfId="0" applyNumberFormat="1" applyFont="1" applyFill="1" applyBorder="1"/>
    <xf numFmtId="168" fontId="31" fillId="0" borderId="21" xfId="0" applyNumberFormat="1" applyFont="1" applyBorder="1"/>
    <xf numFmtId="0" fontId="12" fillId="0" borderId="0" xfId="0" applyFont="1" applyAlignment="1">
      <alignment horizontal="center" vertical="center"/>
    </xf>
    <xf numFmtId="0" fontId="36" fillId="3" borderId="0" xfId="0" applyFont="1" applyFill="1" applyAlignment="1">
      <alignment horizontal="center" vertical="center"/>
    </xf>
    <xf numFmtId="0" fontId="40" fillId="10" borderId="8" xfId="13" applyFont="1" applyFill="1">
      <protection locked="0"/>
    </xf>
    <xf numFmtId="0" fontId="41" fillId="6" borderId="8" xfId="13" applyFont="1" applyFill="1">
      <protection locked="0"/>
    </xf>
    <xf numFmtId="0" fontId="38" fillId="7" borderId="8" xfId="13" applyFont="1" applyFill="1">
      <protection locked="0"/>
    </xf>
    <xf numFmtId="0" fontId="38" fillId="8" borderId="8" xfId="13" applyFont="1" applyFill="1">
      <protection locked="0"/>
    </xf>
    <xf numFmtId="0" fontId="38" fillId="11" borderId="8" xfId="13" applyFont="1" applyFill="1">
      <protection locked="0"/>
    </xf>
    <xf numFmtId="0" fontId="42" fillId="4" borderId="8" xfId="4" applyFont="1" applyFill="1" applyBorder="1" applyAlignment="1">
      <alignment horizontal="right" vertical="center"/>
    </xf>
    <xf numFmtId="0" fontId="44" fillId="0" borderId="23" xfId="0" applyFont="1" applyBorder="1"/>
    <xf numFmtId="0" fontId="45" fillId="0" borderId="24" xfId="4" applyFont="1" applyBorder="1" applyAlignment="1">
      <alignment horizontal="right"/>
    </xf>
    <xf numFmtId="0" fontId="46" fillId="0" borderId="24" xfId="4" applyFont="1" applyBorder="1" applyAlignment="1">
      <alignment horizontal="left"/>
    </xf>
    <xf numFmtId="169" fontId="47" fillId="0" borderId="11" xfId="11" applyNumberFormat="1" applyFont="1" applyFill="1" applyAlignment="1" applyProtection="1">
      <alignment horizontal="center"/>
    </xf>
    <xf numFmtId="167" fontId="48" fillId="0" borderId="0" xfId="1" applyNumberFormat="1" applyFont="1" applyAlignment="1">
      <alignment horizontal="center" vertical="center"/>
    </xf>
    <xf numFmtId="0" fontId="49" fillId="0" borderId="0" xfId="0" applyFont="1"/>
    <xf numFmtId="167" fontId="50" fillId="0" borderId="11" xfId="11" applyNumberFormat="1" applyFont="1"/>
    <xf numFmtId="0" fontId="52" fillId="0" borderId="0" xfId="0" applyFont="1"/>
    <xf numFmtId="167" fontId="53" fillId="0" borderId="0" xfId="12" applyNumberFormat="1" applyFont="1"/>
    <xf numFmtId="0" fontId="4" fillId="0" borderId="0" xfId="1" applyFont="1" applyAlignment="1">
      <alignment horizontal="right" vertical="center" wrapText="1"/>
    </xf>
    <xf numFmtId="0" fontId="54" fillId="0" borderId="0" xfId="1" applyFont="1" applyAlignment="1">
      <alignment vertical="center" wrapText="1"/>
    </xf>
    <xf numFmtId="0" fontId="2" fillId="0" borderId="0" xfId="1" applyAlignment="1">
      <alignment vertical="center" wrapText="1"/>
    </xf>
    <xf numFmtId="0" fontId="4" fillId="0" borderId="0" xfId="1" applyFont="1" applyAlignment="1">
      <alignment vertical="center" wrapText="1"/>
    </xf>
    <xf numFmtId="0" fontId="51" fillId="0" borderId="0" xfId="1" applyFont="1" applyAlignment="1">
      <alignment horizontal="right" vertical="center" wrapText="1"/>
    </xf>
    <xf numFmtId="168" fontId="17" fillId="0" borderId="0" xfId="4" applyNumberFormat="1" applyFont="1"/>
    <xf numFmtId="0" fontId="0" fillId="0" borderId="0" xfId="4" applyFont="1"/>
    <xf numFmtId="168" fontId="38" fillId="10" borderId="8" xfId="13" applyNumberFormat="1" applyFont="1" applyFill="1">
      <protection locked="0"/>
    </xf>
    <xf numFmtId="168" fontId="38" fillId="0" borderId="0" xfId="1" applyNumberFormat="1" applyFont="1"/>
    <xf numFmtId="168" fontId="38" fillId="0" borderId="0" xfId="1" applyNumberFormat="1" applyFont="1" applyAlignment="1">
      <alignment horizontal="center" vertical="center"/>
    </xf>
    <xf numFmtId="168" fontId="39" fillId="0" borderId="2" xfId="1" applyNumberFormat="1" applyFont="1" applyBorder="1" applyAlignment="1">
      <alignment horizontal="right"/>
    </xf>
    <xf numFmtId="168" fontId="39" fillId="0" borderId="0" xfId="1" applyNumberFormat="1" applyFont="1"/>
    <xf numFmtId="0" fontId="38" fillId="0" borderId="0" xfId="1" applyFont="1"/>
    <xf numFmtId="167" fontId="38" fillId="0" borderId="0" xfId="1" applyNumberFormat="1" applyFont="1"/>
    <xf numFmtId="167" fontId="38" fillId="0" borderId="0" xfId="1" applyNumberFormat="1" applyFont="1" applyAlignment="1">
      <alignment horizontal="center" vertical="center"/>
    </xf>
    <xf numFmtId="168" fontId="38" fillId="6" borderId="8" xfId="13" applyNumberFormat="1" applyFont="1" applyFill="1">
      <protection locked="0"/>
    </xf>
    <xf numFmtId="168" fontId="38" fillId="7" borderId="8" xfId="13" applyNumberFormat="1" applyFont="1" applyFill="1">
      <protection locked="0"/>
    </xf>
    <xf numFmtId="168" fontId="38" fillId="8" borderId="8" xfId="13" applyNumberFormat="1" applyFont="1" applyFill="1">
      <protection locked="0"/>
    </xf>
    <xf numFmtId="0" fontId="38" fillId="8" borderId="8" xfId="13" applyFont="1" applyFill="1" applyAlignment="1">
      <alignment horizontal="center" vertical="center"/>
      <protection locked="0"/>
    </xf>
    <xf numFmtId="0" fontId="54" fillId="0" borderId="0" xfId="1" applyFont="1"/>
    <xf numFmtId="3" fontId="54" fillId="0" borderId="0" xfId="2" applyNumberFormat="1" applyFont="1"/>
    <xf numFmtId="168" fontId="38" fillId="10" borderId="0" xfId="2" applyNumberFormat="1" applyFont="1" applyFill="1"/>
    <xf numFmtId="168" fontId="38" fillId="6" borderId="0" xfId="2" applyNumberFormat="1" applyFont="1" applyFill="1"/>
    <xf numFmtId="168" fontId="38" fillId="7" borderId="0" xfId="2" applyNumberFormat="1" applyFont="1" applyFill="1"/>
    <xf numFmtId="168" fontId="38" fillId="8" borderId="25" xfId="13" applyNumberFormat="1" applyFont="1" applyFill="1" applyBorder="1">
      <protection locked="0"/>
    </xf>
    <xf numFmtId="168" fontId="38" fillId="11" borderId="25" xfId="13" applyNumberFormat="1" applyFont="1" applyFill="1" applyBorder="1">
      <protection locked="0"/>
    </xf>
    <xf numFmtId="168" fontId="39" fillId="10" borderId="2" xfId="2" applyNumberFormat="1" applyFont="1" applyFill="1" applyBorder="1" applyAlignment="1">
      <alignment horizontal="right"/>
    </xf>
    <xf numFmtId="168" fontId="39" fillId="6" borderId="2" xfId="2" applyNumberFormat="1" applyFont="1" applyFill="1" applyBorder="1" applyAlignment="1">
      <alignment horizontal="right"/>
    </xf>
    <xf numFmtId="168" fontId="39" fillId="7" borderId="2" xfId="2" applyNumberFormat="1" applyFont="1" applyFill="1" applyBorder="1" applyAlignment="1">
      <alignment horizontal="right"/>
    </xf>
    <xf numFmtId="168" fontId="39" fillId="8" borderId="14" xfId="2" applyNumberFormat="1" applyFont="1" applyFill="1" applyBorder="1" applyAlignment="1">
      <alignment horizontal="right"/>
    </xf>
    <xf numFmtId="168" fontId="39" fillId="11" borderId="14" xfId="2" applyNumberFormat="1" applyFont="1" applyFill="1" applyBorder="1" applyAlignment="1">
      <alignment horizontal="right"/>
    </xf>
    <xf numFmtId="0" fontId="38" fillId="0" borderId="0" xfId="2" applyFont="1"/>
    <xf numFmtId="168" fontId="38" fillId="8" borderId="25" xfId="13" applyNumberFormat="1" applyFont="1" applyFill="1" applyBorder="1" applyAlignment="1">
      <alignment horizontal="right"/>
      <protection locked="0"/>
    </xf>
    <xf numFmtId="168" fontId="38" fillId="11" borderId="25" xfId="13" applyNumberFormat="1" applyFont="1" applyFill="1" applyBorder="1" applyAlignment="1">
      <alignment horizontal="right"/>
      <protection locked="0"/>
    </xf>
    <xf numFmtId="168" fontId="39" fillId="10" borderId="2" xfId="2" applyNumberFormat="1" applyFont="1" applyFill="1" applyBorder="1"/>
    <xf numFmtId="168" fontId="39" fillId="6" borderId="2" xfId="2" applyNumberFormat="1" applyFont="1" applyFill="1" applyBorder="1"/>
    <xf numFmtId="168" fontId="39" fillId="7" borderId="2" xfId="2" applyNumberFormat="1" applyFont="1" applyFill="1" applyBorder="1"/>
    <xf numFmtId="168" fontId="39" fillId="8" borderId="14" xfId="2" applyNumberFormat="1" applyFont="1" applyFill="1" applyBorder="1"/>
    <xf numFmtId="168" fontId="39" fillId="11" borderId="14" xfId="2" applyNumberFormat="1" applyFont="1" applyFill="1" applyBorder="1"/>
    <xf numFmtId="3" fontId="40" fillId="0" borderId="0" xfId="2" applyNumberFormat="1" applyFont="1"/>
    <xf numFmtId="0" fontId="56" fillId="0" borderId="30" xfId="1" applyFont="1" applyBorder="1" applyAlignment="1">
      <alignment vertical="center" wrapText="1"/>
    </xf>
    <xf numFmtId="0" fontId="55" fillId="0" borderId="30" xfId="1" applyFont="1" applyBorder="1" applyAlignment="1">
      <alignment wrapText="1"/>
    </xf>
    <xf numFmtId="0" fontId="56" fillId="0" borderId="1" xfId="1" applyFont="1" applyBorder="1" applyAlignment="1">
      <alignment vertical="center" wrapText="1"/>
    </xf>
    <xf numFmtId="0" fontId="55" fillId="0" borderId="1" xfId="1" applyFont="1" applyBorder="1" applyAlignment="1">
      <alignment wrapText="1"/>
    </xf>
    <xf numFmtId="0" fontId="26" fillId="0" borderId="1" xfId="1" applyFont="1" applyBorder="1" applyAlignment="1">
      <alignment wrapText="1"/>
    </xf>
    <xf numFmtId="3" fontId="43" fillId="0" borderId="30" xfId="2" applyNumberFormat="1" applyFont="1" applyBorder="1"/>
    <xf numFmtId="167" fontId="56" fillId="0" borderId="30" xfId="1" applyNumberFormat="1" applyFont="1" applyBorder="1"/>
    <xf numFmtId="167" fontId="56" fillId="0" borderId="0" xfId="1" applyNumberFormat="1" applyFont="1"/>
    <xf numFmtId="0" fontId="58" fillId="0" borderId="0" xfId="2" applyFont="1" applyAlignment="1">
      <alignment horizontal="right"/>
    </xf>
    <xf numFmtId="0" fontId="59" fillId="0" borderId="0" xfId="2" applyFont="1"/>
    <xf numFmtId="3" fontId="58" fillId="0" borderId="0" xfId="2" applyNumberFormat="1" applyFont="1" applyAlignment="1">
      <alignment horizontal="right"/>
    </xf>
    <xf numFmtId="164" fontId="60" fillId="11" borderId="2" xfId="2" applyNumberFormat="1" applyFont="1" applyFill="1" applyBorder="1"/>
    <xf numFmtId="164" fontId="40" fillId="11" borderId="2" xfId="2" applyNumberFormat="1" applyFont="1" applyFill="1" applyBorder="1"/>
    <xf numFmtId="164" fontId="40" fillId="10" borderId="2" xfId="2" applyNumberFormat="1" applyFont="1" applyFill="1" applyBorder="1"/>
    <xf numFmtId="164" fontId="40" fillId="6" borderId="2" xfId="2" applyNumberFormat="1" applyFont="1" applyFill="1" applyBorder="1"/>
    <xf numFmtId="164" fontId="40" fillId="7" borderId="2" xfId="2" applyNumberFormat="1" applyFont="1" applyFill="1" applyBorder="1"/>
    <xf numFmtId="164" fontId="40" fillId="8" borderId="2" xfId="2" applyNumberFormat="1" applyFont="1" applyFill="1" applyBorder="1"/>
    <xf numFmtId="0" fontId="47" fillId="0" borderId="11" xfId="11" applyFont="1" applyFill="1" applyAlignment="1">
      <alignment horizontal="center"/>
    </xf>
    <xf numFmtId="0" fontId="4" fillId="0" borderId="0" xfId="1" applyFont="1" applyAlignment="1">
      <alignment horizontal="center"/>
    </xf>
    <xf numFmtId="3" fontId="61" fillId="0" borderId="0" xfId="8" applyNumberFormat="1" applyFont="1" applyAlignment="1" applyProtection="1"/>
    <xf numFmtId="0" fontId="63" fillId="0" borderId="0" xfId="8" applyFont="1" applyAlignment="1" applyProtection="1">
      <alignment horizontal="right" vertical="center"/>
    </xf>
    <xf numFmtId="0" fontId="5" fillId="11" borderId="8" xfId="2" applyFill="1" applyBorder="1" applyAlignment="1" applyProtection="1">
      <alignment horizontal="center"/>
      <protection locked="0"/>
    </xf>
    <xf numFmtId="168" fontId="65" fillId="0" borderId="0" xfId="2" applyNumberFormat="1" applyFont="1"/>
    <xf numFmtId="0" fontId="25" fillId="0" borderId="11" xfId="11" applyFill="1" applyAlignment="1">
      <alignment horizontal="center"/>
    </xf>
    <xf numFmtId="168" fontId="26" fillId="10" borderId="31" xfId="0" applyNumberFormat="1" applyFont="1" applyFill="1" applyBorder="1"/>
    <xf numFmtId="164" fontId="27" fillId="0" borderId="0" xfId="0" applyNumberFormat="1" applyFont="1"/>
    <xf numFmtId="164" fontId="26" fillId="11" borderId="8" xfId="0" applyNumberFormat="1" applyFont="1" applyFill="1" applyBorder="1"/>
    <xf numFmtId="168" fontId="39" fillId="0" borderId="0" xfId="2" applyNumberFormat="1" applyFont="1" applyAlignment="1">
      <alignment horizontal="right"/>
    </xf>
    <xf numFmtId="0" fontId="43" fillId="0" borderId="0" xfId="2" applyFont="1" applyAlignment="1">
      <alignment horizontal="right" wrapText="1"/>
    </xf>
    <xf numFmtId="168" fontId="11" fillId="0" borderId="0" xfId="2" applyNumberFormat="1" applyFont="1"/>
    <xf numFmtId="0" fontId="13" fillId="0" borderId="0" xfId="6" applyAlignment="1" applyProtection="1">
      <alignment vertical="center"/>
    </xf>
    <xf numFmtId="0" fontId="5" fillId="0" borderId="0" xfId="2" applyAlignment="1">
      <alignment vertical="center"/>
    </xf>
    <xf numFmtId="0" fontId="47" fillId="0" borderId="8" xfId="14" applyNumberFormat="1" applyFont="1" applyFill="1" applyBorder="1" applyAlignment="1" applyProtection="1">
      <alignment horizontal="center" vertical="center" wrapText="1"/>
    </xf>
    <xf numFmtId="0" fontId="18" fillId="0" borderId="0" xfId="2" applyFont="1"/>
    <xf numFmtId="0" fontId="5" fillId="0" borderId="23" xfId="2" applyBorder="1"/>
    <xf numFmtId="0" fontId="5" fillId="0" borderId="8" xfId="2" applyBorder="1" applyAlignment="1">
      <alignment horizontal="center"/>
    </xf>
    <xf numFmtId="170" fontId="5" fillId="0" borderId="8" xfId="2" applyNumberFormat="1" applyBorder="1" applyAlignment="1">
      <alignment horizontal="center"/>
    </xf>
    <xf numFmtId="168" fontId="5" fillId="0" borderId="8" xfId="2" applyNumberFormat="1" applyBorder="1" applyAlignment="1">
      <alignment horizontal="center"/>
    </xf>
    <xf numFmtId="3" fontId="5" fillId="0" borderId="0" xfId="2" applyNumberFormat="1"/>
    <xf numFmtId="0" fontId="64" fillId="0" borderId="23" xfId="14" applyNumberFormat="1" applyFont="1" applyFill="1" applyBorder="1" applyAlignment="1" applyProtection="1">
      <alignment horizontal="center" vertical="center" wrapText="1"/>
    </xf>
    <xf numFmtId="0" fontId="62" fillId="0" borderId="0" xfId="0" applyFont="1"/>
    <xf numFmtId="0" fontId="6" fillId="0" borderId="32" xfId="2" applyFont="1" applyBorder="1" applyAlignment="1">
      <alignment horizontal="center"/>
    </xf>
    <xf numFmtId="0" fontId="6" fillId="4" borderId="0" xfId="2" applyFont="1" applyFill="1" applyAlignment="1">
      <alignment horizontal="right"/>
    </xf>
    <xf numFmtId="0" fontId="5" fillId="4" borderId="29" xfId="2" applyFill="1" applyBorder="1"/>
    <xf numFmtId="168" fontId="6" fillId="0" borderId="32" xfId="2" applyNumberFormat="1" applyFont="1" applyBorder="1" applyAlignment="1">
      <alignment horizontal="center"/>
    </xf>
    <xf numFmtId="0" fontId="6" fillId="0" borderId="2" xfId="2" applyFont="1" applyBorder="1" applyAlignment="1">
      <alignment horizontal="center"/>
    </xf>
    <xf numFmtId="0" fontId="6" fillId="0" borderId="0" xfId="2" applyFont="1" applyAlignment="1">
      <alignment horizontal="right"/>
    </xf>
    <xf numFmtId="0" fontId="6" fillId="0" borderId="0" xfId="2" applyFont="1" applyAlignment="1">
      <alignment horizontal="center"/>
    </xf>
    <xf numFmtId="0" fontId="5" fillId="4" borderId="0" xfId="2" applyFill="1"/>
    <xf numFmtId="168" fontId="6" fillId="12" borderId="2" xfId="2" applyNumberFormat="1" applyFont="1" applyFill="1" applyBorder="1" applyAlignment="1">
      <alignment horizontal="center"/>
    </xf>
    <xf numFmtId="0" fontId="61" fillId="11" borderId="25" xfId="8" applyFont="1" applyFill="1" applyBorder="1" applyAlignment="1" applyProtection="1">
      <alignment vertical="center"/>
      <protection locked="0"/>
    </xf>
    <xf numFmtId="0" fontId="5" fillId="11" borderId="25" xfId="2" applyFill="1" applyBorder="1" applyAlignment="1" applyProtection="1">
      <alignment horizontal="center"/>
      <protection locked="0"/>
    </xf>
    <xf numFmtId="0" fontId="67" fillId="0" borderId="0" xfId="0" applyFont="1"/>
    <xf numFmtId="0" fontId="69" fillId="0" borderId="0" xfId="2" applyFont="1" applyAlignment="1">
      <alignment horizontal="right"/>
    </xf>
    <xf numFmtId="0" fontId="70" fillId="3" borderId="0" xfId="12" applyFont="1" applyFill="1" applyAlignment="1" applyProtection="1">
      <alignment horizontal="center" vertical="top" wrapText="1"/>
    </xf>
    <xf numFmtId="0" fontId="25" fillId="7" borderId="0" xfId="11" applyFill="1" applyBorder="1" applyAlignment="1">
      <alignment horizontal="center"/>
    </xf>
    <xf numFmtId="0" fontId="25" fillId="8" borderId="0" xfId="11" applyFill="1" applyBorder="1" applyAlignment="1">
      <alignment horizontal="center"/>
    </xf>
    <xf numFmtId="0" fontId="25" fillId="11" borderId="0" xfId="11" applyFill="1" applyBorder="1" applyAlignment="1">
      <alignment horizontal="center"/>
    </xf>
    <xf numFmtId="168" fontId="47" fillId="0" borderId="11" xfId="11" applyNumberFormat="1" applyFont="1" applyAlignment="1" applyProtection="1">
      <alignment horizontal="left" vertical="center" wrapText="1"/>
      <protection locked="0"/>
    </xf>
    <xf numFmtId="0" fontId="47" fillId="0" borderId="11" xfId="11" applyFont="1" applyAlignment="1" applyProtection="1">
      <alignment horizontal="left" vertical="center" wrapText="1"/>
      <protection locked="0"/>
    </xf>
    <xf numFmtId="0" fontId="24" fillId="0" borderId="10" xfId="10"/>
    <xf numFmtId="0" fontId="0" fillId="0" borderId="0" xfId="4" applyFont="1" applyAlignment="1">
      <alignment horizontal="right" vertical="center"/>
    </xf>
    <xf numFmtId="0" fontId="57" fillId="0" borderId="1" xfId="1" applyFont="1" applyBorder="1" applyAlignment="1">
      <alignment wrapText="1"/>
    </xf>
    <xf numFmtId="168" fontId="39" fillId="6" borderId="2" xfId="1" applyNumberFormat="1" applyFont="1" applyFill="1" applyBorder="1" applyAlignment="1">
      <alignment horizontal="right"/>
    </xf>
    <xf numFmtId="168" fontId="39" fillId="10" borderId="2" xfId="1" applyNumberFormat="1" applyFont="1" applyFill="1" applyBorder="1" applyAlignment="1">
      <alignment horizontal="right"/>
    </xf>
    <xf numFmtId="168" fontId="39" fillId="7" borderId="2" xfId="1" applyNumberFormat="1" applyFont="1" applyFill="1" applyBorder="1" applyAlignment="1">
      <alignment horizontal="right"/>
    </xf>
    <xf numFmtId="164" fontId="60" fillId="10" borderId="2" xfId="2" applyNumberFormat="1" applyFont="1" applyFill="1" applyBorder="1"/>
    <xf numFmtId="164" fontId="60" fillId="0" borderId="2" xfId="2" applyNumberFormat="1" applyFont="1" applyBorder="1"/>
    <xf numFmtId="164" fontId="60" fillId="6" borderId="2" xfId="2" applyNumberFormat="1" applyFont="1" applyFill="1" applyBorder="1"/>
    <xf numFmtId="0" fontId="58" fillId="0" borderId="0" xfId="2" applyFont="1"/>
    <xf numFmtId="164" fontId="60" fillId="7" borderId="2" xfId="2" applyNumberFormat="1" applyFont="1" applyFill="1" applyBorder="1"/>
    <xf numFmtId="0" fontId="31" fillId="0" borderId="0" xfId="0" applyFont="1" applyAlignment="1">
      <alignment horizontal="left" wrapText="1"/>
    </xf>
    <xf numFmtId="164" fontId="27" fillId="0" borderId="14" xfId="0" applyNumberFormat="1" applyFont="1" applyBorder="1"/>
    <xf numFmtId="164" fontId="26" fillId="10" borderId="2" xfId="0" applyNumberFormat="1" applyFont="1" applyFill="1" applyBorder="1"/>
    <xf numFmtId="164" fontId="26" fillId="6" borderId="2" xfId="0" applyNumberFormat="1" applyFont="1" applyFill="1" applyBorder="1"/>
    <xf numFmtId="164" fontId="26" fillId="7" borderId="2" xfId="0" applyNumberFormat="1" applyFont="1" applyFill="1" applyBorder="1"/>
    <xf numFmtId="0" fontId="32" fillId="0" borderId="0" xfId="2" quotePrefix="1" applyFont="1" applyAlignment="1">
      <alignment vertical="center" wrapText="1"/>
    </xf>
    <xf numFmtId="0" fontId="32" fillId="0" borderId="0" xfId="2" applyFont="1" applyAlignment="1">
      <alignment vertical="center" wrapText="1"/>
    </xf>
    <xf numFmtId="168" fontId="31" fillId="0" borderId="2" xfId="0" applyNumberFormat="1" applyFont="1" applyBorder="1"/>
    <xf numFmtId="168" fontId="33" fillId="0" borderId="2" xfId="0" applyNumberFormat="1" applyFont="1" applyBorder="1"/>
    <xf numFmtId="0" fontId="6" fillId="0" borderId="0" xfId="2" applyFont="1"/>
    <xf numFmtId="0" fontId="17" fillId="8" borderId="8" xfId="13" applyFill="1" applyAlignment="1">
      <alignment horizontal="center" vertical="center"/>
      <protection locked="0"/>
    </xf>
    <xf numFmtId="0" fontId="0" fillId="8" borderId="8" xfId="13" applyFont="1" applyFill="1" applyAlignment="1">
      <alignment horizontal="center" vertical="center"/>
      <protection locked="0"/>
    </xf>
    <xf numFmtId="0" fontId="11" fillId="0" borderId="7" xfId="0" applyFont="1" applyBorder="1" applyAlignment="1">
      <alignment horizontal="center" wrapText="1"/>
    </xf>
    <xf numFmtId="0" fontId="11" fillId="0" borderId="8" xfId="0" applyFont="1" applyBorder="1" applyAlignment="1">
      <alignment horizontal="center" wrapText="1"/>
    </xf>
    <xf numFmtId="0" fontId="27" fillId="0" borderId="0" xfId="0" applyFont="1"/>
    <xf numFmtId="170" fontId="26" fillId="2" borderId="25" xfId="13" applyNumberFormat="1" applyFont="1" applyBorder="1">
      <protection locked="0"/>
    </xf>
    <xf numFmtId="170" fontId="10" fillId="0" borderId="6" xfId="0" applyNumberFormat="1" applyFont="1" applyBorder="1" applyAlignment="1">
      <alignment horizontal="center"/>
    </xf>
    <xf numFmtId="170" fontId="10" fillId="0" borderId="8" xfId="0" applyNumberFormat="1" applyFont="1" applyBorder="1" applyAlignment="1">
      <alignment horizontal="center"/>
    </xf>
    <xf numFmtId="0" fontId="27" fillId="0" borderId="23" xfId="0" applyFont="1" applyBorder="1"/>
    <xf numFmtId="0" fontId="10" fillId="0" borderId="33" xfId="4" applyFont="1" applyBorder="1"/>
    <xf numFmtId="0" fontId="75" fillId="0" borderId="0" xfId="2" applyFont="1" applyAlignment="1">
      <alignment horizontal="center" vertical="center"/>
    </xf>
    <xf numFmtId="0" fontId="74" fillId="0" borderId="0" xfId="2" applyFont="1" applyAlignment="1">
      <alignment horizontal="right" vertical="center" wrapText="1"/>
    </xf>
    <xf numFmtId="0" fontId="33" fillId="0" borderId="0" xfId="0" applyFont="1" applyAlignment="1">
      <alignment horizontal="right"/>
    </xf>
    <xf numFmtId="0" fontId="25" fillId="0" borderId="0" xfId="11" applyBorder="1" applyAlignment="1">
      <alignment horizontal="center" vertical="center" wrapText="1"/>
    </xf>
    <xf numFmtId="0" fontId="32" fillId="15" borderId="18" xfId="2" applyFont="1" applyFill="1" applyBorder="1" applyAlignment="1">
      <alignment vertical="center" wrapText="1"/>
    </xf>
    <xf numFmtId="0" fontId="32" fillId="15" borderId="35" xfId="2" applyFont="1" applyFill="1" applyBorder="1" applyAlignment="1">
      <alignment vertical="center" wrapText="1"/>
    </xf>
    <xf numFmtId="167" fontId="1" fillId="0" borderId="0" xfId="1" applyNumberFormat="1" applyFont="1" applyAlignment="1">
      <alignment horizontal="center" vertical="center"/>
    </xf>
    <xf numFmtId="0" fontId="0" fillId="0" borderId="0" xfId="0" applyProtection="1">
      <protection locked="0"/>
    </xf>
    <xf numFmtId="0" fontId="16" fillId="0" borderId="0" xfId="2" applyFont="1" applyAlignment="1">
      <alignment horizontal="center" vertical="center"/>
    </xf>
    <xf numFmtId="0" fontId="5" fillId="0" borderId="0" xfId="2" applyAlignment="1">
      <alignment wrapText="1"/>
    </xf>
    <xf numFmtId="0" fontId="15" fillId="0" borderId="7" xfId="2" applyFont="1" applyBorder="1" applyAlignment="1">
      <alignment horizontal="center" vertical="top" wrapText="1"/>
    </xf>
    <xf numFmtId="0" fontId="15" fillId="0" borderId="0" xfId="2" applyFont="1" applyAlignment="1">
      <alignment horizontal="center" vertical="top" wrapText="1"/>
    </xf>
    <xf numFmtId="170" fontId="5" fillId="0" borderId="0" xfId="2" applyNumberFormat="1" applyAlignment="1">
      <alignment wrapText="1"/>
    </xf>
    <xf numFmtId="170" fontId="6" fillId="0" borderId="8" xfId="2" applyNumberFormat="1" applyFont="1" applyBorder="1" applyAlignment="1">
      <alignment horizontal="center"/>
    </xf>
    <xf numFmtId="3" fontId="6" fillId="0" borderId="8" xfId="2" applyNumberFormat="1" applyFont="1" applyBorder="1" applyAlignment="1">
      <alignment horizontal="center"/>
    </xf>
    <xf numFmtId="9" fontId="5" fillId="0" borderId="8" xfId="7" applyFont="1" applyFill="1" applyBorder="1" applyAlignment="1"/>
    <xf numFmtId="168" fontId="5" fillId="0" borderId="8" xfId="2" applyNumberFormat="1" applyBorder="1"/>
    <xf numFmtId="3" fontId="7" fillId="0" borderId="8" xfId="2" applyNumberFormat="1" applyFont="1" applyBorder="1" applyAlignment="1">
      <alignment horizontal="center"/>
    </xf>
    <xf numFmtId="168" fontId="7" fillId="0" borderId="8" xfId="2" applyNumberFormat="1" applyFont="1" applyBorder="1" applyAlignment="1">
      <alignment horizontal="right"/>
    </xf>
    <xf numFmtId="0" fontId="19" fillId="0" borderId="0" xfId="2" applyFont="1" applyAlignment="1">
      <alignment horizontal="center" vertical="center"/>
    </xf>
    <xf numFmtId="0" fontId="15" fillId="0" borderId="8" xfId="2" applyFont="1" applyBorder="1" applyAlignment="1">
      <alignment horizontal="center" vertical="top" wrapText="1"/>
    </xf>
    <xf numFmtId="1" fontId="19" fillId="0" borderId="0" xfId="7" applyNumberFormat="1" applyFont="1" applyFill="1" applyAlignment="1"/>
    <xf numFmtId="168" fontId="19" fillId="0" borderId="0" xfId="7" applyNumberFormat="1" applyFont="1" applyFill="1" applyAlignment="1"/>
    <xf numFmtId="0" fontId="19" fillId="0" borderId="0" xfId="2" applyFont="1" applyAlignment="1">
      <alignment horizontal="right"/>
    </xf>
    <xf numFmtId="170" fontId="19" fillId="0" borderId="0" xfId="7" applyNumberFormat="1" applyFont="1" applyFill="1"/>
    <xf numFmtId="1" fontId="19" fillId="0" borderId="2" xfId="2" applyNumberFormat="1" applyFont="1" applyBorder="1"/>
    <xf numFmtId="168" fontId="19" fillId="0" borderId="2" xfId="2" applyNumberFormat="1" applyFont="1" applyBorder="1"/>
    <xf numFmtId="0" fontId="15" fillId="0" borderId="12" xfId="2" applyFont="1" applyBorder="1" applyAlignment="1">
      <alignment horizontal="center" vertical="top" wrapText="1"/>
    </xf>
    <xf numFmtId="0" fontId="20" fillId="0" borderId="0" xfId="2" applyFont="1"/>
    <xf numFmtId="0" fontId="5" fillId="0" borderId="0" xfId="2" applyAlignment="1">
      <alignment horizontal="right"/>
    </xf>
    <xf numFmtId="168" fontId="7" fillId="16" borderId="8" xfId="2" applyNumberFormat="1" applyFont="1" applyFill="1" applyBorder="1" applyAlignment="1">
      <alignment horizontal="right"/>
    </xf>
    <xf numFmtId="170" fontId="19" fillId="16" borderId="0" xfId="2" applyNumberFormat="1" applyFont="1" applyFill="1"/>
    <xf numFmtId="170" fontId="5" fillId="16" borderId="0" xfId="2" applyNumberFormat="1" applyFill="1"/>
    <xf numFmtId="170" fontId="5" fillId="16" borderId="0" xfId="2" applyNumberFormat="1" applyFill="1" applyAlignment="1">
      <alignment wrapText="1"/>
    </xf>
    <xf numFmtId="170" fontId="5" fillId="16" borderId="8" xfId="2" applyNumberFormat="1" applyFill="1" applyBorder="1" applyAlignment="1">
      <alignment horizontal="center"/>
    </xf>
    <xf numFmtId="3" fontId="6" fillId="16" borderId="8" xfId="2" applyNumberFormat="1" applyFont="1" applyFill="1" applyBorder="1" applyAlignment="1">
      <alignment horizontal="center"/>
    </xf>
    <xf numFmtId="1" fontId="19" fillId="16" borderId="2" xfId="2" applyNumberFormat="1" applyFont="1" applyFill="1" applyBorder="1"/>
    <xf numFmtId="0" fontId="15" fillId="16" borderId="7" xfId="2" applyFont="1" applyFill="1" applyBorder="1" applyAlignment="1">
      <alignment horizontal="center" vertical="top" wrapText="1"/>
    </xf>
    <xf numFmtId="9" fontId="6" fillId="16" borderId="0" xfId="7" applyFont="1" applyFill="1"/>
    <xf numFmtId="9" fontId="19" fillId="16" borderId="0" xfId="7" applyFont="1" applyFill="1" applyAlignment="1"/>
    <xf numFmtId="9" fontId="19" fillId="16" borderId="0" xfId="7" applyFont="1" applyFill="1"/>
    <xf numFmtId="168" fontId="5" fillId="16" borderId="0" xfId="2" applyNumberFormat="1" applyFill="1"/>
    <xf numFmtId="0" fontId="19" fillId="15" borderId="0" xfId="2" applyFont="1" applyFill="1"/>
    <xf numFmtId="0" fontId="15" fillId="15" borderId="8" xfId="2" applyFont="1" applyFill="1" applyBorder="1" applyAlignment="1">
      <alignment horizontal="center" vertical="top" wrapText="1"/>
    </xf>
    <xf numFmtId="168" fontId="19" fillId="15" borderId="0" xfId="2" applyNumberFormat="1" applyFont="1" applyFill="1"/>
    <xf numFmtId="0" fontId="17" fillId="0" borderId="30" xfId="4" applyFont="1" applyBorder="1"/>
    <xf numFmtId="0" fontId="76" fillId="0" borderId="30" xfId="4" applyFont="1" applyBorder="1"/>
    <xf numFmtId="0" fontId="24" fillId="0" borderId="0" xfId="10" applyBorder="1" applyAlignment="1"/>
    <xf numFmtId="49" fontId="43" fillId="0" borderId="30" xfId="2" applyNumberFormat="1" applyFont="1" applyBorder="1"/>
    <xf numFmtId="0" fontId="68" fillId="0" borderId="0" xfId="0" applyFont="1" applyAlignment="1">
      <alignment horizontal="center"/>
    </xf>
    <xf numFmtId="0" fontId="78" fillId="0" borderId="0" xfId="0" applyFont="1" applyAlignment="1">
      <alignment horizontal="center"/>
    </xf>
    <xf numFmtId="0" fontId="40" fillId="2" borderId="8" xfId="13" applyFont="1">
      <protection locked="0"/>
    </xf>
    <xf numFmtId="168" fontId="38" fillId="2" borderId="8" xfId="13" applyNumberFormat="1" applyFont="1">
      <protection locked="0"/>
    </xf>
    <xf numFmtId="168" fontId="39" fillId="2" borderId="2" xfId="1" applyNumberFormat="1" applyFont="1" applyFill="1" applyBorder="1" applyAlignment="1">
      <alignment horizontal="right"/>
    </xf>
    <xf numFmtId="164" fontId="60" fillId="2" borderId="2" xfId="2" applyNumberFormat="1" applyFont="1" applyFill="1" applyBorder="1"/>
    <xf numFmtId="168" fontId="26" fillId="2" borderId="31" xfId="0" applyNumberFormat="1" applyFont="1" applyFill="1" applyBorder="1"/>
    <xf numFmtId="168" fontId="26" fillId="2" borderId="0" xfId="0" applyNumberFormat="1" applyFont="1" applyFill="1"/>
    <xf numFmtId="164" fontId="26" fillId="2" borderId="2" xfId="0" applyNumberFormat="1" applyFont="1" applyFill="1" applyBorder="1"/>
    <xf numFmtId="0" fontId="25" fillId="0" borderId="11" xfId="11" applyAlignment="1">
      <alignment horizontal="center"/>
    </xf>
    <xf numFmtId="0" fontId="26" fillId="0" borderId="36" xfId="0" applyFont="1" applyBorder="1"/>
    <xf numFmtId="0" fontId="26" fillId="0" borderId="0" xfId="0" applyFont="1" applyAlignment="1">
      <alignment vertical="center" wrapText="1"/>
    </xf>
    <xf numFmtId="168" fontId="26" fillId="8" borderId="0" xfId="0" applyNumberFormat="1" applyFont="1" applyFill="1"/>
    <xf numFmtId="168" fontId="26" fillId="7" borderId="36" xfId="0" applyNumberFormat="1" applyFont="1" applyFill="1" applyBorder="1"/>
    <xf numFmtId="168" fontId="26" fillId="8" borderId="36" xfId="0" applyNumberFormat="1" applyFont="1" applyFill="1" applyBorder="1"/>
    <xf numFmtId="0" fontId="0" fillId="0" borderId="36" xfId="0" applyBorder="1"/>
    <xf numFmtId="168" fontId="26" fillId="11" borderId="4" xfId="0" applyNumberFormat="1" applyFont="1" applyFill="1" applyBorder="1"/>
    <xf numFmtId="168" fontId="26" fillId="11" borderId="23" xfId="0" applyNumberFormat="1" applyFont="1" applyFill="1" applyBorder="1"/>
    <xf numFmtId="168" fontId="26" fillId="7" borderId="30" xfId="0" applyNumberFormat="1" applyFont="1" applyFill="1" applyBorder="1"/>
    <xf numFmtId="168" fontId="26" fillId="8" borderId="30" xfId="0" applyNumberFormat="1" applyFont="1" applyFill="1" applyBorder="1"/>
    <xf numFmtId="0" fontId="0" fillId="0" borderId="30" xfId="0" applyBorder="1"/>
    <xf numFmtId="168" fontId="26" fillId="11" borderId="38" xfId="0" applyNumberFormat="1" applyFont="1" applyFill="1" applyBorder="1"/>
    <xf numFmtId="168" fontId="26" fillId="7" borderId="1" xfId="0" applyNumberFormat="1" applyFont="1" applyFill="1" applyBorder="1"/>
    <xf numFmtId="168" fontId="26" fillId="8" borderId="1" xfId="0" applyNumberFormat="1" applyFont="1" applyFill="1" applyBorder="1"/>
    <xf numFmtId="0" fontId="0" fillId="0" borderId="1" xfId="0" applyBorder="1"/>
    <xf numFmtId="168" fontId="26" fillId="11" borderId="6" xfId="0" applyNumberFormat="1" applyFont="1" applyFill="1" applyBorder="1"/>
    <xf numFmtId="164" fontId="40" fillId="2" borderId="2" xfId="2" applyNumberFormat="1" applyFont="1" applyFill="1" applyBorder="1"/>
    <xf numFmtId="168" fontId="38" fillId="2" borderId="0" xfId="2" applyNumberFormat="1" applyFont="1" applyFill="1"/>
    <xf numFmtId="168" fontId="39" fillId="2" borderId="2" xfId="2" applyNumberFormat="1" applyFont="1" applyFill="1" applyBorder="1" applyAlignment="1">
      <alignment horizontal="right"/>
    </xf>
    <xf numFmtId="168" fontId="39" fillId="2" borderId="2" xfId="2" applyNumberFormat="1" applyFont="1" applyFill="1" applyBorder="1"/>
    <xf numFmtId="3" fontId="4" fillId="0" borderId="0" xfId="0" applyNumberFormat="1" applyFont="1" applyAlignment="1">
      <alignment horizontal="right"/>
    </xf>
    <xf numFmtId="167" fontId="80" fillId="0" borderId="0" xfId="12" applyNumberFormat="1" applyFont="1" applyAlignment="1">
      <alignment vertical="center"/>
    </xf>
    <xf numFmtId="167" fontId="38" fillId="0" borderId="0" xfId="1" applyNumberFormat="1" applyFont="1" applyAlignment="1">
      <alignment vertical="center"/>
    </xf>
    <xf numFmtId="0" fontId="39" fillId="0" borderId="0" xfId="1" applyFont="1" applyAlignment="1">
      <alignment horizontal="center"/>
    </xf>
    <xf numFmtId="164" fontId="81" fillId="7" borderId="2" xfId="2" applyNumberFormat="1" applyFont="1" applyFill="1" applyBorder="1"/>
    <xf numFmtId="164" fontId="81" fillId="0" borderId="2" xfId="2" applyNumberFormat="1" applyFont="1" applyBorder="1"/>
    <xf numFmtId="168" fontId="38" fillId="0" borderId="8" xfId="4" applyNumberFormat="1" applyFont="1" applyBorder="1"/>
    <xf numFmtId="0" fontId="82" fillId="0" borderId="0" xfId="0" pivotButton="1" applyFont="1"/>
    <xf numFmtId="0" fontId="82" fillId="0" borderId="0" xfId="0" applyFont="1" applyAlignment="1">
      <alignment horizontal="left"/>
    </xf>
    <xf numFmtId="170" fontId="82" fillId="0" borderId="0" xfId="0" applyNumberFormat="1" applyFont="1"/>
    <xf numFmtId="0" fontId="83" fillId="17" borderId="41" xfId="0" applyFont="1" applyFill="1" applyBorder="1"/>
    <xf numFmtId="0" fontId="83" fillId="17" borderId="42" xfId="0" applyFont="1" applyFill="1" applyBorder="1" applyAlignment="1">
      <alignment horizontal="left"/>
    </xf>
    <xf numFmtId="170" fontId="83" fillId="17" borderId="42" xfId="0" applyNumberFormat="1" applyFont="1" applyFill="1" applyBorder="1"/>
    <xf numFmtId="0" fontId="6" fillId="0" borderId="0" xfId="2" applyFont="1" applyAlignment="1">
      <alignment horizontal="left"/>
    </xf>
    <xf numFmtId="0" fontId="27" fillId="17" borderId="41" xfId="0" applyFont="1" applyFill="1" applyBorder="1"/>
    <xf numFmtId="0" fontId="83" fillId="17" borderId="41" xfId="0" applyFont="1" applyFill="1" applyBorder="1" applyAlignment="1">
      <alignment horizontal="center"/>
    </xf>
    <xf numFmtId="0" fontId="22" fillId="0" borderId="0" xfId="8" applyNumberFormat="1" applyAlignment="1" applyProtection="1">
      <alignment horizontal="center"/>
    </xf>
    <xf numFmtId="0" fontId="35" fillId="0" borderId="0" xfId="8" applyFont="1" applyAlignment="1" applyProtection="1">
      <alignment horizontal="center"/>
    </xf>
    <xf numFmtId="0" fontId="47" fillId="0" borderId="10" xfId="10" applyFont="1" applyAlignment="1" applyProtection="1"/>
    <xf numFmtId="0" fontId="22" fillId="0" borderId="0" xfId="8" applyAlignment="1" applyProtection="1"/>
    <xf numFmtId="0" fontId="34" fillId="0" borderId="0" xfId="12" applyFont="1" applyBorder="1" applyAlignment="1" applyProtection="1">
      <alignment wrapText="1"/>
    </xf>
    <xf numFmtId="0" fontId="37" fillId="0" borderId="0" xfId="12" applyBorder="1" applyAlignment="1" applyProtection="1">
      <alignment wrapText="1"/>
    </xf>
    <xf numFmtId="0" fontId="23" fillId="0" borderId="9" xfId="9" applyAlignment="1" applyProtection="1"/>
    <xf numFmtId="0" fontId="47" fillId="0" borderId="0" xfId="10" applyFont="1" applyBorder="1" applyAlignment="1"/>
    <xf numFmtId="0" fontId="38" fillId="5" borderId="26" xfId="13" applyFont="1" applyFill="1" applyBorder="1" applyAlignment="1">
      <alignment vertical="center"/>
      <protection locked="0"/>
    </xf>
    <xf numFmtId="0" fontId="38" fillId="5" borderId="27" xfId="13" applyFont="1" applyFill="1" applyBorder="1" applyAlignment="1">
      <alignment vertical="center"/>
      <protection locked="0"/>
    </xf>
    <xf numFmtId="0" fontId="38" fillId="5" borderId="28" xfId="13" applyFont="1" applyFill="1" applyBorder="1" applyAlignment="1">
      <alignment vertical="center"/>
      <protection locked="0"/>
    </xf>
    <xf numFmtId="0" fontId="47" fillId="0" borderId="11" xfId="11" applyFont="1" applyFill="1" applyAlignment="1" applyProtection="1">
      <alignment horizontal="center"/>
    </xf>
    <xf numFmtId="0" fontId="22" fillId="0" borderId="0" xfId="8" applyAlignment="1" applyProtection="1">
      <alignment vertical="center" wrapText="1"/>
    </xf>
    <xf numFmtId="0" fontId="43" fillId="4" borderId="8" xfId="4" applyFont="1" applyFill="1" applyBorder="1" applyAlignment="1">
      <alignment vertical="center"/>
    </xf>
    <xf numFmtId="0" fontId="47" fillId="0" borderId="10" xfId="10" applyFont="1" applyFill="1" applyAlignment="1" applyProtection="1">
      <alignment horizontal="left"/>
    </xf>
    <xf numFmtId="0" fontId="47" fillId="0" borderId="0" xfId="10" applyFont="1" applyFill="1" applyBorder="1" applyAlignment="1" applyProtection="1">
      <alignment horizontal="left"/>
    </xf>
    <xf numFmtId="0" fontId="56" fillId="0" borderId="8" xfId="4" applyFont="1" applyBorder="1"/>
    <xf numFmtId="0" fontId="31" fillId="0" borderId="0" xfId="4" applyFont="1" applyAlignment="1">
      <alignment vertical="top" wrapText="1"/>
    </xf>
    <xf numFmtId="0" fontId="65" fillId="0" borderId="0" xfId="2" applyFont="1" applyAlignment="1">
      <alignment horizontal="right" wrapText="1"/>
    </xf>
    <xf numFmtId="167" fontId="55" fillId="0" borderId="0" xfId="1" applyNumberFormat="1" applyFont="1" applyAlignment="1">
      <alignment wrapText="1"/>
    </xf>
    <xf numFmtId="167" fontId="55" fillId="0" borderId="30" xfId="1" applyNumberFormat="1" applyFont="1" applyBorder="1" applyAlignment="1">
      <alignment wrapText="1"/>
    </xf>
    <xf numFmtId="167" fontId="56" fillId="0" borderId="1" xfId="1" applyNumberFormat="1" applyFont="1" applyBorder="1" applyAlignment="1">
      <alignment wrapText="1"/>
    </xf>
    <xf numFmtId="167" fontId="56" fillId="0" borderId="30" xfId="1" applyNumberFormat="1" applyFont="1" applyBorder="1" applyAlignment="1">
      <alignment vertical="center" wrapText="1"/>
    </xf>
    <xf numFmtId="3" fontId="77" fillId="11" borderId="1" xfId="2" applyNumberFormat="1" applyFont="1" applyFill="1" applyBorder="1" applyProtection="1">
      <protection locked="0"/>
    </xf>
    <xf numFmtId="168" fontId="38" fillId="7" borderId="39" xfId="2" applyNumberFormat="1" applyFont="1" applyFill="1" applyBorder="1" applyAlignment="1">
      <alignment vertical="top"/>
    </xf>
    <xf numFmtId="168" fontId="38" fillId="7" borderId="40" xfId="2" applyNumberFormat="1" applyFont="1" applyFill="1" applyBorder="1" applyAlignment="1">
      <alignment vertical="top"/>
    </xf>
    <xf numFmtId="168" fontId="38" fillId="6" borderId="0" xfId="2" applyNumberFormat="1" applyFont="1" applyFill="1" applyAlignment="1">
      <alignment vertical="top"/>
    </xf>
    <xf numFmtId="168" fontId="38" fillId="6" borderId="30" xfId="2" applyNumberFormat="1" applyFont="1" applyFill="1" applyBorder="1" applyAlignment="1">
      <alignment vertical="top"/>
    </xf>
    <xf numFmtId="168" fontId="38" fillId="10" borderId="0" xfId="2" applyNumberFormat="1" applyFont="1" applyFill="1" applyAlignment="1">
      <alignment vertical="top"/>
    </xf>
    <xf numFmtId="168" fontId="38" fillId="10" borderId="30" xfId="2" applyNumberFormat="1" applyFont="1" applyFill="1" applyBorder="1" applyAlignment="1">
      <alignment vertical="top"/>
    </xf>
    <xf numFmtId="168" fontId="38" fillId="2" borderId="0" xfId="2" applyNumberFormat="1" applyFont="1" applyFill="1" applyAlignment="1">
      <alignment vertical="top"/>
    </xf>
    <xf numFmtId="168" fontId="38" fillId="2" borderId="30" xfId="2" applyNumberFormat="1" applyFont="1" applyFill="1" applyBorder="1" applyAlignment="1">
      <alignment vertical="top"/>
    </xf>
    <xf numFmtId="170" fontId="5" fillId="11" borderId="8" xfId="2" applyNumberFormat="1" applyFill="1" applyBorder="1" applyAlignment="1" applyProtection="1">
      <alignment horizontal="center"/>
      <protection locked="0"/>
    </xf>
    <xf numFmtId="0" fontId="43" fillId="0" borderId="0" xfId="2" applyFont="1" applyAlignment="1">
      <alignment horizontal="right"/>
    </xf>
    <xf numFmtId="0" fontId="47" fillId="0" borderId="8" xfId="14" applyNumberFormat="1" applyFont="1" applyFill="1" applyBorder="1" applyAlignment="1" applyProtection="1">
      <alignment horizontal="center" vertical="center" wrapText="1"/>
    </xf>
    <xf numFmtId="0" fontId="43" fillId="0" borderId="0" xfId="2" applyFont="1" applyAlignment="1">
      <alignment horizontal="left" wrapText="1"/>
    </xf>
    <xf numFmtId="0" fontId="43" fillId="0" borderId="0" xfId="2" applyFont="1" applyAlignment="1">
      <alignment horizontal="left" vertical="center" wrapText="1"/>
    </xf>
    <xf numFmtId="170" fontId="5" fillId="0" borderId="8" xfId="2" applyNumberFormat="1" applyBorder="1" applyAlignment="1">
      <alignment horizontal="center"/>
    </xf>
    <xf numFmtId="0" fontId="5" fillId="0" borderId="0" xfId="2" applyAlignment="1">
      <alignment horizontal="center"/>
    </xf>
    <xf numFmtId="0" fontId="16" fillId="0" borderId="5" xfId="2" applyFont="1" applyBorder="1" applyAlignment="1">
      <alignment horizontal="center" vertical="center"/>
    </xf>
    <xf numFmtId="0" fontId="16" fillId="0" borderId="1" xfId="2" applyFont="1" applyBorder="1" applyAlignment="1">
      <alignment horizontal="center" vertical="center"/>
    </xf>
    <xf numFmtId="0" fontId="16" fillId="0" borderId="6" xfId="2" applyFont="1" applyBorder="1" applyAlignment="1">
      <alignment horizontal="center" vertical="center"/>
    </xf>
    <xf numFmtId="0" fontId="7" fillId="0" borderId="5" xfId="2" applyFont="1" applyBorder="1" applyAlignment="1">
      <alignment horizontal="center"/>
    </xf>
    <xf numFmtId="0" fontId="7" fillId="0" borderId="6" xfId="2" applyFont="1" applyBorder="1" applyAlignment="1">
      <alignment horizontal="center"/>
    </xf>
    <xf numFmtId="0" fontId="15" fillId="0" borderId="3" xfId="2" applyFont="1" applyBorder="1" applyAlignment="1">
      <alignment horizontal="center" vertical="center" wrapText="1"/>
    </xf>
    <xf numFmtId="0" fontId="15" fillId="0" borderId="4" xfId="2" applyFont="1" applyBorder="1" applyAlignment="1">
      <alignment horizontal="center" vertical="center" wrapText="1"/>
    </xf>
    <xf numFmtId="0" fontId="16" fillId="16" borderId="5" xfId="2" applyFont="1" applyFill="1" applyBorder="1" applyAlignment="1">
      <alignment horizontal="center" vertical="center"/>
    </xf>
    <xf numFmtId="0" fontId="16" fillId="16" borderId="1" xfId="2" applyFont="1" applyFill="1" applyBorder="1" applyAlignment="1">
      <alignment horizontal="center" vertical="center"/>
    </xf>
    <xf numFmtId="0" fontId="16" fillId="16" borderId="6" xfId="2" applyFont="1" applyFill="1" applyBorder="1" applyAlignment="1">
      <alignment horizontal="center" vertical="center"/>
    </xf>
    <xf numFmtId="0" fontId="79" fillId="0" borderId="3" xfId="0" applyFont="1" applyBorder="1" applyAlignment="1">
      <alignment horizontal="left" vertical="center" wrapText="1"/>
    </xf>
    <xf numFmtId="0" fontId="79" fillId="0" borderId="36" xfId="0" applyFont="1" applyBorder="1" applyAlignment="1">
      <alignment horizontal="left" vertical="center" wrapText="1"/>
    </xf>
    <xf numFmtId="0" fontId="79" fillId="0" borderId="12" xfId="0" applyFont="1" applyBorder="1" applyAlignment="1">
      <alignment horizontal="left" vertical="center" wrapText="1"/>
    </xf>
    <xf numFmtId="0" fontId="79" fillId="0" borderId="0" xfId="0" applyFont="1" applyAlignment="1">
      <alignment horizontal="left" vertical="center" wrapText="1"/>
    </xf>
    <xf numFmtId="0" fontId="79" fillId="0" borderId="37" xfId="0" applyFont="1" applyBorder="1" applyAlignment="1">
      <alignment horizontal="left" vertical="center" wrapText="1"/>
    </xf>
    <xf numFmtId="0" fontId="79" fillId="0" borderId="30" xfId="0" applyFont="1" applyBorder="1" applyAlignment="1">
      <alignment horizontal="left" vertical="center" wrapText="1"/>
    </xf>
    <xf numFmtId="0" fontId="79" fillId="0" borderId="5" xfId="0" applyFont="1" applyBorder="1" applyAlignment="1">
      <alignment horizontal="left" vertical="center" wrapText="1"/>
    </xf>
    <xf numFmtId="0" fontId="79" fillId="0" borderId="1" xfId="0" applyFont="1" applyBorder="1" applyAlignment="1">
      <alignment horizontal="left" vertical="center" wrapText="1"/>
    </xf>
    <xf numFmtId="3" fontId="26" fillId="0" borderId="0" xfId="0" applyNumberFormat="1" applyFont="1"/>
    <xf numFmtId="0" fontId="26" fillId="0" borderId="0" xfId="0" applyFont="1"/>
    <xf numFmtId="3" fontId="26" fillId="0" borderId="30" xfId="0" applyNumberFormat="1" applyFont="1" applyBorder="1"/>
    <xf numFmtId="0" fontId="26" fillId="0" borderId="30" xfId="0" applyFont="1" applyBorder="1"/>
    <xf numFmtId="3" fontId="26" fillId="0" borderId="36" xfId="0" applyNumberFormat="1" applyFont="1" applyBorder="1"/>
    <xf numFmtId="0" fontId="26" fillId="0" borderId="36" xfId="0" applyFont="1" applyBorder="1"/>
    <xf numFmtId="0" fontId="26" fillId="0" borderId="1" xfId="0" applyFont="1" applyBorder="1"/>
    <xf numFmtId="0" fontId="0" fillId="0" borderId="0" xfId="0"/>
    <xf numFmtId="0" fontId="37" fillId="0" borderId="0" xfId="12" applyAlignment="1">
      <alignment vertical="top" wrapText="1"/>
    </xf>
    <xf numFmtId="0" fontId="24" fillId="0" borderId="10" xfId="10" applyAlignment="1">
      <alignment horizontal="left"/>
    </xf>
    <xf numFmtId="0" fontId="26" fillId="0" borderId="0" xfId="0" applyFont="1" applyAlignment="1">
      <alignment horizontal="left" wrapText="1"/>
    </xf>
    <xf numFmtId="0" fontId="31" fillId="0" borderId="0" xfId="0" applyFont="1" applyAlignment="1">
      <alignment horizontal="left" wrapText="1"/>
    </xf>
    <xf numFmtId="0" fontId="0" fillId="0" borderId="0" xfId="0" applyAlignment="1">
      <alignment horizontal="center"/>
    </xf>
    <xf numFmtId="0" fontId="23" fillId="0" borderId="9" xfId="9" applyAlignment="1">
      <alignment horizontal="center"/>
    </xf>
    <xf numFmtId="0" fontId="31" fillId="0" borderId="0" xfId="0" applyFont="1" applyAlignment="1">
      <alignment wrapText="1"/>
    </xf>
    <xf numFmtId="0" fontId="66" fillId="0" borderId="0" xfId="0" applyFont="1" applyAlignment="1">
      <alignment horizontal="center" wrapText="1"/>
    </xf>
    <xf numFmtId="0" fontId="28" fillId="0" borderId="13" xfId="0" applyFont="1" applyBorder="1" applyAlignment="1">
      <alignment wrapText="1"/>
    </xf>
    <xf numFmtId="0" fontId="27" fillId="0" borderId="0" xfId="0" applyFont="1" applyAlignment="1">
      <alignment horizontal="right"/>
    </xf>
    <xf numFmtId="3" fontId="24" fillId="0" borderId="0" xfId="10" applyNumberFormat="1" applyBorder="1" applyAlignment="1"/>
    <xf numFmtId="0" fontId="24" fillId="0" borderId="0" xfId="10" applyBorder="1" applyAlignment="1"/>
    <xf numFmtId="0" fontId="32" fillId="0" borderId="0" xfId="2" applyFont="1" applyAlignment="1">
      <alignment wrapText="1"/>
    </xf>
    <xf numFmtId="0" fontId="0" fillId="0" borderId="0" xfId="0" applyAlignment="1">
      <alignment horizontal="center" vertical="center"/>
    </xf>
    <xf numFmtId="0" fontId="22" fillId="0" borderId="0" xfId="8" applyAlignment="1">
      <alignment horizontal="center"/>
    </xf>
    <xf numFmtId="0" fontId="26" fillId="0" borderId="13" xfId="1" applyFont="1" applyBorder="1" applyAlignment="1">
      <alignment wrapText="1"/>
    </xf>
    <xf numFmtId="0" fontId="26" fillId="0" borderId="0" xfId="1" applyFont="1" applyAlignment="1">
      <alignment wrapText="1"/>
    </xf>
    <xf numFmtId="0" fontId="24" fillId="0" borderId="10" xfId="10" applyAlignment="1"/>
    <xf numFmtId="2" fontId="10" fillId="0" borderId="13" xfId="2" applyNumberFormat="1" applyFont="1" applyBorder="1" applyAlignment="1">
      <alignment wrapText="1"/>
    </xf>
    <xf numFmtId="0" fontId="32" fillId="0" borderId="0" xfId="2" quotePrefix="1" applyFont="1" applyAlignment="1">
      <alignment vertical="center" wrapText="1"/>
    </xf>
    <xf numFmtId="0" fontId="32" fillId="0" borderId="0" xfId="2" applyFont="1" applyAlignment="1">
      <alignment vertical="center" wrapText="1"/>
    </xf>
    <xf numFmtId="0" fontId="24" fillId="0" borderId="10" xfId="10" applyAlignment="1" applyProtection="1">
      <alignment horizontal="left"/>
    </xf>
    <xf numFmtId="0" fontId="24" fillId="0" borderId="10" xfId="10" applyAlignment="1" applyProtection="1"/>
    <xf numFmtId="0" fontId="31" fillId="0" borderId="0" xfId="0" applyFont="1" applyAlignment="1">
      <alignment horizontal="left" vertical="top" wrapText="1"/>
    </xf>
    <xf numFmtId="0" fontId="31" fillId="0" borderId="34" xfId="0" applyFont="1" applyBorder="1" applyAlignment="1">
      <alignment horizontal="left" vertical="top" wrapText="1"/>
    </xf>
    <xf numFmtId="0" fontId="32" fillId="0" borderId="0" xfId="2" applyFont="1"/>
    <xf numFmtId="0" fontId="22" fillId="0" borderId="0" xfId="8" applyNumberFormat="1" applyAlignment="1">
      <alignment horizontal="center"/>
    </xf>
    <xf numFmtId="0" fontId="31" fillId="0" borderId="34" xfId="0" applyFont="1" applyBorder="1" applyAlignment="1">
      <alignment horizontal="left" wrapText="1"/>
    </xf>
  </cellXfs>
  <cellStyles count="16">
    <cellStyle name="Currency 2" xfId="3" xr:uid="{4AB8E63C-93BE-446F-86C2-905F5A4E7393}"/>
    <cellStyle name="Explanatory Text" xfId="12" builtinId="53" customBuiltin="1"/>
    <cellStyle name="Heading 1" xfId="9" builtinId="16"/>
    <cellStyle name="Heading 2" xfId="10" builtinId="17"/>
    <cellStyle name="Heading 3" xfId="11" builtinId="18"/>
    <cellStyle name="Heading 4" xfId="14" builtinId="19"/>
    <cellStyle name="Hyperlink" xfId="6" builtinId="8"/>
    <cellStyle name="Input2" xfId="13" xr:uid="{322328A7-684F-48F3-824C-EBA5F937157D}"/>
    <cellStyle name="Normal" xfId="0" builtinId="0"/>
    <cellStyle name="Normal 2" xfId="1" xr:uid="{542CCB48-3B71-4C01-B4F1-44385B90E4DC}"/>
    <cellStyle name="Normal 3" xfId="2" xr:uid="{4B6DDBBE-E646-498B-8D71-1951DC3AF485}"/>
    <cellStyle name="Normal 4" xfId="4" xr:uid="{4D4C0F75-1C21-40E4-BBA5-A4EC639848F2}"/>
    <cellStyle name="Normal 5" xfId="15" xr:uid="{AD13A218-DF1F-45EE-9DE4-75A8E5542255}"/>
    <cellStyle name="Per cent" xfId="7" builtinId="5"/>
    <cellStyle name="Percent 2" xfId="5" xr:uid="{A11AE911-C927-4BC4-8803-ADC98C7D5E9A}"/>
    <cellStyle name="Title" xfId="8" builtinId="15"/>
  </cellStyles>
  <dxfs count="63">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color rgb="FF0070C0"/>
      </font>
      <border>
        <left style="thin">
          <color rgb="FF0070C0"/>
        </left>
        <right style="thin">
          <color rgb="FF0070C0"/>
        </right>
        <top style="thin">
          <color rgb="FF0070C0"/>
        </top>
        <bottom style="thin">
          <color rgb="FF0070C0"/>
        </bottom>
        <vertical/>
        <horizontal/>
      </border>
    </dxf>
    <dxf>
      <font>
        <color rgb="FFFF0000"/>
      </font>
    </dxf>
    <dxf>
      <font>
        <color rgb="FFFF0000"/>
      </font>
    </dxf>
    <dxf>
      <font>
        <color rgb="FFFF0000"/>
      </font>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0070C0"/>
      </font>
      <border>
        <left style="thin">
          <color rgb="FF0070C0"/>
        </left>
        <right style="thin">
          <color rgb="FF0070C0"/>
        </right>
        <top style="thin">
          <color rgb="FF0070C0"/>
        </top>
        <bottom style="thin">
          <color rgb="FF0070C0"/>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0000"/>
      </font>
    </dxf>
    <dxf>
      <font>
        <color rgb="FFFF0000"/>
      </font>
    </dxf>
    <dxf>
      <font>
        <color rgb="FFFF0000"/>
      </font>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0070C0"/>
      </font>
      <border>
        <left style="thin">
          <color rgb="FF0070C0"/>
        </left>
        <right style="thin">
          <color rgb="FF0070C0"/>
        </right>
        <top style="thin">
          <color rgb="FF0070C0"/>
        </top>
        <bottom style="thin">
          <color rgb="FF0070C0"/>
        </bottom>
        <vertical/>
        <horizontal/>
      </border>
    </dxf>
    <dxf>
      <font>
        <color rgb="FF0070C0"/>
      </font>
      <border>
        <left style="thin">
          <color rgb="FF0070C0"/>
        </left>
        <right style="thin">
          <color rgb="FF0070C0"/>
        </right>
        <top style="thin">
          <color rgb="FF0070C0"/>
        </top>
        <bottom style="thin">
          <color rgb="FF0070C0"/>
        </bottom>
        <vertical/>
        <horizontal/>
      </border>
    </dxf>
    <dxf>
      <font>
        <color rgb="FFFF0000"/>
      </font>
    </dxf>
    <dxf>
      <font>
        <color rgb="FFFF0000"/>
      </font>
    </dxf>
    <dxf>
      <font>
        <color rgb="FFFF0000"/>
      </font>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0070C0"/>
      </font>
      <border>
        <left style="thin">
          <color rgb="FF0070C0"/>
        </left>
        <right style="thin">
          <color rgb="FF0070C0"/>
        </right>
        <top style="thin">
          <color rgb="FF0070C0"/>
        </top>
        <bottom style="thin">
          <color rgb="FF0070C0"/>
        </bottom>
        <vertical/>
        <horizontal/>
      </border>
    </dxf>
    <dxf>
      <fill>
        <patternFill>
          <bgColor rgb="FFFF000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rgb="FF0070C0"/>
      </font>
      <border>
        <left style="thin">
          <color rgb="FF0070C0"/>
        </left>
        <right style="thin">
          <color rgb="FF0070C0"/>
        </right>
        <top style="thin">
          <color rgb="FF0070C0"/>
        </top>
        <bottom style="thin">
          <color rgb="FF0070C0"/>
        </bottom>
        <vertical/>
        <horizontal/>
      </border>
    </dxf>
    <dxf>
      <font>
        <strike val="0"/>
        <color theme="5" tint="-0.749961851863155"/>
      </font>
    </dxf>
    <dxf>
      <font>
        <strike val="0"/>
        <color rgb="FF7030A0"/>
      </font>
    </dxf>
    <dxf>
      <font>
        <strike val="0"/>
        <color rgb="FF0070C0"/>
      </font>
    </dxf>
    <dxf>
      <font>
        <strike val="0"/>
        <color theme="9" tint="-0.499984740745262"/>
      </font>
    </dxf>
    <dxf>
      <font>
        <b/>
        <i val="0"/>
      </font>
    </dxf>
    <dxf>
      <fill>
        <patternFill>
          <bgColor theme="7" tint="-9.9948118533890809E-2"/>
        </patternFill>
      </fill>
    </dxf>
    <dxf>
      <fill>
        <patternFill>
          <bgColor theme="7" tint="-0.24994659260841701"/>
        </patternFill>
      </fill>
    </dxf>
    <dxf>
      <fill>
        <patternFill>
          <bgColor theme="7" tint="-0.499984740745262"/>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
      <font>
        <name val="Aptos Narrow"/>
        <scheme val="minor"/>
      </font>
    </dxf>
  </dxfs>
  <tableStyles count="0" defaultTableStyle="TableStyleMedium2" defaultPivotStyle="PivotStyleLight16"/>
  <colors>
    <mruColors>
      <color rgb="FF660066"/>
      <color rgb="FF66FFCC"/>
      <color rgb="FF800080"/>
      <color rgb="FF00FF99"/>
      <color rgb="FF501E82"/>
      <color rgb="FFFFFF99"/>
      <color rgb="FFFFD09B"/>
      <color rgb="FFFFF7D1"/>
      <color rgb="FF83A4B5"/>
      <color rgb="FF98B4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7.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8.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9.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1.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 Income &amp; Expenditure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Calculations!$C$56:$C$58</c:f>
              <c:strCache>
                <c:ptCount val="3"/>
                <c:pt idx="0">
                  <c:v>Income</c:v>
                </c:pt>
                <c:pt idx="1">
                  <c:v>Unrestricted</c:v>
                </c:pt>
              </c:strCache>
            </c:strRef>
          </c:tx>
          <c:spPr>
            <a:solidFill>
              <a:schemeClr val="accent6">
                <a:lumMod val="75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Calculations!$C$59:$C$70</c:f>
              <c:numCache>
                <c:formatCode>"£"#,##0</c:formatCode>
                <c:ptCount val="12"/>
                <c:pt idx="0">
                  <c:v>0</c:v>
                </c:pt>
                <c:pt idx="3">
                  <c:v>0</c:v>
                </c:pt>
                <c:pt idx="6">
                  <c:v>0</c:v>
                </c:pt>
                <c:pt idx="9">
                  <c:v>0</c:v>
                </c:pt>
              </c:numCache>
            </c:numRef>
          </c:val>
          <c:extLst>
            <c:ext xmlns:c16="http://schemas.microsoft.com/office/drawing/2014/chart" uri="{C3380CC4-5D6E-409C-BE32-E72D297353CC}">
              <c16:uniqueId val="{00000000-5F01-4D2B-AE87-CA53C88E6518}"/>
            </c:ext>
          </c:extLst>
        </c:ser>
        <c:ser>
          <c:idx val="1"/>
          <c:order val="1"/>
          <c:tx>
            <c:strRef>
              <c:f>Calculations!$D$56:$D$58</c:f>
              <c:strCache>
                <c:ptCount val="3"/>
                <c:pt idx="0">
                  <c:v>Income</c:v>
                </c:pt>
                <c:pt idx="1">
                  <c:v>Restricted</c:v>
                </c:pt>
              </c:strCache>
            </c:strRef>
          </c:tx>
          <c:spPr>
            <a:solidFill>
              <a:schemeClr val="accent6"/>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Calculations!$D$59:$D$70</c:f>
              <c:numCache>
                <c:formatCode>"£"#,##0</c:formatCode>
                <c:ptCount val="12"/>
                <c:pt idx="0">
                  <c:v>0</c:v>
                </c:pt>
                <c:pt idx="3">
                  <c:v>0</c:v>
                </c:pt>
                <c:pt idx="6">
                  <c:v>0</c:v>
                </c:pt>
                <c:pt idx="9">
                  <c:v>0</c:v>
                </c:pt>
              </c:numCache>
            </c:numRef>
          </c:val>
          <c:extLst>
            <c:ext xmlns:c16="http://schemas.microsoft.com/office/drawing/2014/chart" uri="{C3380CC4-5D6E-409C-BE32-E72D297353CC}">
              <c16:uniqueId val="{00000001-5F01-4D2B-AE87-CA53C88E6518}"/>
            </c:ext>
          </c:extLst>
        </c:ser>
        <c:ser>
          <c:idx val="2"/>
          <c:order val="2"/>
          <c:tx>
            <c:strRef>
              <c:f>Calculations!$E$56:$E$58</c:f>
              <c:strCache>
                <c:ptCount val="3"/>
                <c:pt idx="0">
                  <c:v>Expenditure</c:v>
                </c:pt>
                <c:pt idx="1">
                  <c:v>Unrestricted</c:v>
                </c:pt>
              </c:strCache>
            </c:strRef>
          </c:tx>
          <c:spPr>
            <a:solidFill>
              <a:schemeClr val="tx2">
                <a:lumMod val="50000"/>
                <a:lumOff val="50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Calculations!$E$59:$E$70</c:f>
              <c:numCache>
                <c:formatCode>"£"#,##0</c:formatCode>
                <c:ptCount val="12"/>
                <c:pt idx="1">
                  <c:v>0</c:v>
                </c:pt>
                <c:pt idx="4">
                  <c:v>0</c:v>
                </c:pt>
                <c:pt idx="7">
                  <c:v>0</c:v>
                </c:pt>
                <c:pt idx="10">
                  <c:v>0</c:v>
                </c:pt>
              </c:numCache>
            </c:numRef>
          </c:val>
          <c:extLst>
            <c:ext xmlns:c16="http://schemas.microsoft.com/office/drawing/2014/chart" uri="{C3380CC4-5D6E-409C-BE32-E72D297353CC}">
              <c16:uniqueId val="{00000002-5F01-4D2B-AE87-CA53C88E6518}"/>
            </c:ext>
          </c:extLst>
        </c:ser>
        <c:ser>
          <c:idx val="3"/>
          <c:order val="3"/>
          <c:tx>
            <c:strRef>
              <c:f>Calculations!$F$56:$F$58</c:f>
              <c:strCache>
                <c:ptCount val="3"/>
                <c:pt idx="0">
                  <c:v>Expenditure</c:v>
                </c:pt>
                <c:pt idx="1">
                  <c:v>Restricted</c:v>
                </c:pt>
              </c:strCache>
            </c:strRef>
          </c:tx>
          <c:spPr>
            <a:solidFill>
              <a:schemeClr val="tx2">
                <a:lumMod val="25000"/>
                <a:lumOff val="75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Calculations!$F$59:$F$70</c:f>
              <c:numCache>
                <c:formatCode>"£"#,##0</c:formatCode>
                <c:ptCount val="12"/>
                <c:pt idx="1">
                  <c:v>0</c:v>
                </c:pt>
                <c:pt idx="4">
                  <c:v>0</c:v>
                </c:pt>
                <c:pt idx="7">
                  <c:v>0</c:v>
                </c:pt>
                <c:pt idx="10">
                  <c:v>0</c:v>
                </c:pt>
              </c:numCache>
            </c:numRef>
          </c:val>
          <c:extLst>
            <c:ext xmlns:c16="http://schemas.microsoft.com/office/drawing/2014/chart" uri="{C3380CC4-5D6E-409C-BE32-E72D297353CC}">
              <c16:uniqueId val="{00000003-5F01-4D2B-AE87-CA53C88E6518}"/>
            </c:ext>
          </c:extLst>
        </c:ser>
        <c:dLbls>
          <c:showLegendKey val="0"/>
          <c:showVal val="0"/>
          <c:showCatName val="0"/>
          <c:showSerName val="0"/>
          <c:showPercent val="0"/>
          <c:showBubbleSize val="0"/>
        </c:dLbls>
        <c:gapWidth val="20"/>
        <c:overlap val="100"/>
        <c:axId val="1984650848"/>
        <c:axId val="1984645568"/>
      </c:barChart>
      <c:catAx>
        <c:axId val="198465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645568"/>
        <c:crosses val="autoZero"/>
        <c:auto val="1"/>
        <c:lblAlgn val="ctr"/>
        <c:lblOffset val="100"/>
        <c:noMultiLvlLbl val="0"/>
      </c:catAx>
      <c:valAx>
        <c:axId val="19846455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650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Planned Income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112479741685177E-2"/>
          <c:y val="0.15966348278630121"/>
          <c:w val="0.83958141595936875"/>
          <c:h val="0.61093252518692898"/>
        </c:manualLayout>
      </c:layout>
      <c:pieChart>
        <c:varyColors val="1"/>
        <c:ser>
          <c:idx val="0"/>
          <c:order val="0"/>
          <c:tx>
            <c:v>Planned income</c:v>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6E98-4B07-AB36-8AEDCD387DCD}"/>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6E98-4B07-AB36-8AEDCD387DCD}"/>
              </c:ext>
            </c:extLst>
          </c:dPt>
          <c:dPt>
            <c:idx val="2"/>
            <c:bubble3D val="0"/>
            <c:spPr>
              <a:solidFill>
                <a:srgbClr val="66FFCC"/>
              </a:solidFill>
              <a:ln w="19050">
                <a:solidFill>
                  <a:schemeClr val="lt1"/>
                </a:solidFill>
              </a:ln>
              <a:effectLst/>
            </c:spPr>
            <c:extLst>
              <c:ext xmlns:c16="http://schemas.microsoft.com/office/drawing/2014/chart" uri="{C3380CC4-5D6E-409C-BE32-E72D297353CC}">
                <c16:uniqueId val="{00000005-6E98-4B07-AB36-8AEDCD387DCD}"/>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8411-41DC-9E61-BD7E8812B3B1}"/>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Calculations!$A$45:$A$48</c:f>
              <c:strCache>
                <c:ptCount val="4"/>
                <c:pt idx="0">
                  <c:v>Planned giving</c:v>
                </c:pt>
                <c:pt idx="1">
                  <c:v>Other income</c:v>
                </c:pt>
                <c:pt idx="2">
                  <c:v>Trading income</c:v>
                </c:pt>
                <c:pt idx="3">
                  <c:v>One-off income</c:v>
                </c:pt>
              </c:strCache>
            </c:strRef>
          </c:cat>
          <c:val>
            <c:numRef>
              <c:f>Calculations!$B$45:$B$48</c:f>
              <c:numCache>
                <c:formatCode>"£"#,##0</c:formatCode>
                <c:ptCount val="4"/>
                <c:pt idx="0">
                  <c:v>0</c:v>
                </c:pt>
                <c:pt idx="1">
                  <c:v>0</c:v>
                </c:pt>
                <c:pt idx="2">
                  <c:v>0</c:v>
                </c:pt>
                <c:pt idx="3">
                  <c:v>0</c:v>
                </c:pt>
              </c:numCache>
            </c:numRef>
          </c:val>
          <c:extLst>
            <c:ext xmlns:c16="http://schemas.microsoft.com/office/drawing/2014/chart" uri="{C3380CC4-5D6E-409C-BE32-E72D297353CC}">
              <c16:uniqueId val="{00000006-6E98-4B07-AB36-8AEDCD387DCD}"/>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Unrestricted</a:t>
            </a:r>
            <a:r>
              <a:rPr lang="en-GB" sz="1100" b="0" i="0" u="none" strike="noStrike" kern="1200" spc="0" baseline="0">
                <a:solidFill>
                  <a:sysClr val="windowText" lastClr="000000">
                    <a:lumMod val="65000"/>
                    <a:lumOff val="35000"/>
                  </a:sysClr>
                </a:solidFill>
              </a:rPr>
              <a:t> </a:t>
            </a:r>
            <a:r>
              <a:rPr lang="en-GB"/>
              <a:t>Income &amp; Expenditure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'5a Report with age bands'!$B$9:$C$9</c:f>
              <c:strCache>
                <c:ptCount val="2"/>
                <c:pt idx="0">
                  <c:v>Unrestricted Income</c:v>
                </c:pt>
              </c:strCache>
            </c:strRef>
          </c:tx>
          <c:spPr>
            <a:solidFill>
              <a:schemeClr val="accent3">
                <a:lumMod val="90000"/>
              </a:schemeClr>
            </a:solidFill>
            <a:ln w="12700">
              <a:solidFill>
                <a:schemeClr val="accent3">
                  <a:lumMod val="50000"/>
                </a:schemeClr>
              </a:solidFill>
            </a:ln>
            <a:effectLst/>
          </c:spPr>
          <c:invertIfNegative val="0"/>
          <c:val>
            <c:numRef>
              <c:f>'5a Report with age bands'!$D$9:$G$9</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D874-4F57-A593-C36F428AEE78}"/>
            </c:ext>
          </c:extLst>
        </c:ser>
        <c:ser>
          <c:idx val="1"/>
          <c:order val="1"/>
          <c:tx>
            <c:strRef>
              <c:f>'5a Report with age bands'!$B$10:$C$10</c:f>
              <c:strCache>
                <c:ptCount val="2"/>
                <c:pt idx="0">
                  <c:v>Unrestricted Expenditure</c:v>
                </c:pt>
              </c:strCache>
            </c:strRef>
          </c:tx>
          <c:spPr>
            <a:solidFill>
              <a:srgbClr val="FFF7D1"/>
            </a:solidFill>
            <a:ln w="12700">
              <a:solidFill>
                <a:srgbClr val="FFC000"/>
              </a:solidFill>
            </a:ln>
            <a:effectLst/>
          </c:spPr>
          <c:invertIfNegative val="0"/>
          <c:val>
            <c:numRef>
              <c:f>'5a Report with age bands'!$D$10:$G$10</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1-D874-4F57-A593-C36F428AEE78}"/>
            </c:ext>
          </c:extLst>
        </c:ser>
        <c:dLbls>
          <c:showLegendKey val="0"/>
          <c:showVal val="0"/>
          <c:showCatName val="0"/>
          <c:showSerName val="0"/>
          <c:showPercent val="0"/>
          <c:showBubbleSize val="0"/>
        </c:dLbls>
        <c:gapWidth val="200"/>
        <c:axId val="189051600"/>
        <c:axId val="189054000"/>
      </c:barChart>
      <c:catAx>
        <c:axId val="18905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4000"/>
        <c:crosses val="autoZero"/>
        <c:auto val="1"/>
        <c:lblAlgn val="ctr"/>
        <c:lblOffset val="100"/>
        <c:noMultiLvlLbl val="0"/>
      </c:catAx>
      <c:valAx>
        <c:axId val="1890540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Unrestricted</a:t>
            </a:r>
            <a:r>
              <a:rPr lang="en-GB"/>
              <a:t> Surplus/Deficit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'5a Report with age bands'!$B$11:$C$11</c:f>
              <c:strCache>
                <c:ptCount val="2"/>
                <c:pt idx="0">
                  <c:v>Surplus/Deficit</c:v>
                </c:pt>
              </c:strCache>
            </c:strRef>
          </c:tx>
          <c:spPr>
            <a:solidFill>
              <a:srgbClr val="FFD09B"/>
            </a:solidFill>
            <a:ln w="12700">
              <a:solidFill>
                <a:srgbClr val="FFC000"/>
              </a:solidFill>
            </a:ln>
            <a:effectLst/>
          </c:spPr>
          <c:invertIfNegative val="0"/>
          <c:val>
            <c:numRef>
              <c:f>'5a Report with age bands'!$D$11:$G$11</c:f>
              <c:numCache>
                <c:formatCode>"£"#,##0;[Red]\-"£"#,##0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EF20-4BCC-BF09-5DC35013326C}"/>
            </c:ext>
          </c:extLst>
        </c:ser>
        <c:dLbls>
          <c:showLegendKey val="0"/>
          <c:showVal val="0"/>
          <c:showCatName val="0"/>
          <c:showSerName val="0"/>
          <c:showPercent val="0"/>
          <c:showBubbleSize val="0"/>
        </c:dLbls>
        <c:gapWidth val="200"/>
        <c:axId val="189051600"/>
        <c:axId val="189054000"/>
      </c:barChart>
      <c:catAx>
        <c:axId val="189051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4000"/>
        <c:crosses val="autoZero"/>
        <c:auto val="1"/>
        <c:lblAlgn val="ctr"/>
        <c:lblOffset val="100"/>
        <c:noMultiLvlLbl val="0"/>
      </c:catAx>
      <c:valAx>
        <c:axId val="1890540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r>
              <a:rPr lang="en-GB" sz="1400" b="0">
                <a:solidFill>
                  <a:sysClr val="windowText" lastClr="000000"/>
                </a:solidFill>
                <a:latin typeface="Aptos Narrow" panose="020B0004020202020204" pitchFamily="34" charset="0"/>
                <a:ea typeface="Calibri" panose="020F0502020204030204" pitchFamily="34" charset="0"/>
                <a:cs typeface="Calibri" panose="020F0502020204030204" pitchFamily="34" charset="0"/>
              </a:rPr>
              <a:t>Reserves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barChart>
        <c:barDir val="col"/>
        <c:grouping val="stacked"/>
        <c:varyColors val="0"/>
        <c:ser>
          <c:idx val="0"/>
          <c:order val="0"/>
          <c:tx>
            <c:strRef>
              <c:f>'5a Report with age bands'!$B$20:$C$20</c:f>
              <c:strCache>
                <c:ptCount val="2"/>
                <c:pt idx="0">
                  <c:v>Reserves (cash assets)</c:v>
                </c:pt>
              </c:strCache>
            </c:strRef>
          </c:tx>
          <c:spPr>
            <a:solidFill>
              <a:schemeClr val="accent1"/>
            </a:solidFill>
            <a:ln w="12700">
              <a:solidFill>
                <a:srgbClr val="7030A0"/>
              </a:solidFill>
            </a:ln>
            <a:effectLst/>
          </c:spPr>
          <c:invertIfNegative val="0"/>
          <c:dLbls>
            <c:delete val="1"/>
          </c:dLbls>
          <c:val>
            <c:numRef>
              <c:f>'5a Report with age bands'!$D$20:$G$20</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12C4-4002-9459-B9F021F2ECC9}"/>
            </c:ext>
          </c:extLst>
        </c:ser>
        <c:dLbls>
          <c:dLblPos val="ctr"/>
          <c:showLegendKey val="0"/>
          <c:showVal val="1"/>
          <c:showCatName val="0"/>
          <c:showSerName val="0"/>
          <c:showPercent val="0"/>
          <c:showBubbleSize val="0"/>
        </c:dLbls>
        <c:gapWidth val="150"/>
        <c:overlap val="100"/>
        <c:axId val="124135664"/>
        <c:axId val="128717904"/>
      </c:barChart>
      <c:catAx>
        <c:axId val="124135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17904"/>
        <c:crosses val="autoZero"/>
        <c:auto val="1"/>
        <c:lblAlgn val="ctr"/>
        <c:lblOffset val="100"/>
        <c:noMultiLvlLbl val="0"/>
      </c:catAx>
      <c:valAx>
        <c:axId val="1287179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13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Number of givers by amount given</a:t>
            </a:r>
            <a:r>
              <a:rPr lang="en-GB" baseline="0"/>
              <a:t> and tax status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tx>
            <c:strRef>
              <c:f>Calculations!$H$2:$J$2</c:f>
              <c:strCache>
                <c:ptCount val="1"/>
                <c:pt idx="0">
                  <c:v>Gift Aid</c:v>
                </c:pt>
              </c:strCache>
            </c:strRef>
          </c:tx>
          <c:spPr>
            <a:solidFill>
              <a:srgbClr val="BFF6C3"/>
            </a:solidFill>
            <a:ln>
              <a:solidFill>
                <a:schemeClr val="accent2">
                  <a:lumMod val="50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Calculations!$H$4:$H$13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51-46BF-BCF9-8551DDABDDE8}"/>
            </c:ext>
          </c:extLst>
        </c:ser>
        <c:ser>
          <c:idx val="1"/>
          <c:order val="1"/>
          <c:tx>
            <c:strRef>
              <c:f>Calculations!$L$2:$N$2</c:f>
              <c:strCache>
                <c:ptCount val="1"/>
                <c:pt idx="0">
                  <c:v>No Gift Aid</c:v>
                </c:pt>
              </c:strCache>
            </c:strRef>
          </c:tx>
          <c:spPr>
            <a:solidFill>
              <a:srgbClr val="FFF7D1"/>
            </a:solidFill>
            <a:ln>
              <a:solidFill>
                <a:schemeClr val="bg2">
                  <a:lumMod val="25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Calculations!$L$4:$L$13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51-46BF-BCF9-8551DDABDDE8}"/>
            </c:ext>
          </c:extLst>
        </c:ser>
        <c:dLbls>
          <c:showLegendKey val="0"/>
          <c:showVal val="0"/>
          <c:showCatName val="0"/>
          <c:showSerName val="0"/>
          <c:showPercent val="0"/>
          <c:showBubbleSize val="0"/>
        </c:dLbls>
        <c:gapWidth val="150"/>
        <c:overlap val="100"/>
        <c:axId val="340554896"/>
        <c:axId val="340555856"/>
      </c:barChart>
      <c:catAx>
        <c:axId val="3405548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Weekly gift size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5856"/>
        <c:crosses val="autoZero"/>
        <c:auto val="1"/>
        <c:lblAlgn val="ctr"/>
        <c:lblOffset val="100"/>
        <c:noMultiLvlLbl val="0"/>
      </c:catAx>
      <c:valAx>
        <c:axId val="340555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givers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4896"/>
        <c:crosses val="autoZero"/>
        <c:crossBetween val="between"/>
      </c:valAx>
      <c:spPr>
        <a:noFill/>
        <a:ln>
          <a:noFill/>
        </a:ln>
        <a:effectLst/>
      </c:spPr>
    </c:plotArea>
    <c:legend>
      <c:legendPos val="b"/>
      <c:layout>
        <c:manualLayout>
          <c:xMode val="edge"/>
          <c:yMode val="edge"/>
          <c:x val="0.35786277777777775"/>
          <c:y val="0.87358740740740737"/>
          <c:w val="0.28897814814814815"/>
          <c:h val="7.9375555555555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GB" sz="1400" b="1" i="0" baseline="0">
                <a:effectLst/>
              </a:rPr>
              <a:t>Number of givers by method</a:t>
            </a:r>
            <a:endParaRPr lang="en-GB" sz="1400">
              <a:effectLst/>
            </a:endParaRPr>
          </a:p>
        </c:rich>
      </c:tx>
      <c:overlay val="0"/>
      <c:spPr>
        <a:noFill/>
        <a:ln>
          <a:noFill/>
        </a:ln>
        <a:effectLst/>
      </c:spPr>
    </c:title>
    <c:autoTitleDeleted val="0"/>
    <c:plotArea>
      <c:layout/>
      <c:barChart>
        <c:barDir val="col"/>
        <c:grouping val="stacked"/>
        <c:varyColors val="1"/>
        <c:ser>
          <c:idx val="0"/>
          <c:order val="0"/>
          <c:tx>
            <c:strRef>
              <c:f>Calculations!$H$2:$J$2</c:f>
              <c:strCache>
                <c:ptCount val="3"/>
                <c:pt idx="0">
                  <c:v>Gift Aid</c:v>
                </c:pt>
              </c:strCache>
            </c:strRef>
          </c:tx>
          <c:spPr>
            <a:solidFill>
              <a:srgbClr val="BFF6C3"/>
            </a:solidFill>
            <a:ln>
              <a:solidFill>
                <a:schemeClr val="accent2">
                  <a:lumMod val="50000"/>
                </a:schemeClr>
              </a:solidFill>
            </a:ln>
            <a:effectLst/>
          </c:spPr>
          <c:invertIfNegative val="0"/>
          <c:cat>
            <c:strRef>
              <c:f>'2b Giving history'!$I$6:$I$8</c:f>
              <c:strCache>
                <c:ptCount val="3"/>
                <c:pt idx="0">
                  <c:v>PGS</c:v>
                </c:pt>
                <c:pt idx="1">
                  <c:v>SO</c:v>
                </c:pt>
                <c:pt idx="2">
                  <c:v>Envelope</c:v>
                </c:pt>
              </c:strCache>
            </c:strRef>
          </c:cat>
          <c:val>
            <c:numRef>
              <c:f>(Calculations!$Q$33,Calculations!$U$33,Calculations!$Y$33)</c:f>
              <c:numCache>
                <c:formatCode>0</c:formatCode>
                <c:ptCount val="3"/>
                <c:pt idx="0">
                  <c:v>0</c:v>
                </c:pt>
                <c:pt idx="1">
                  <c:v>0</c:v>
                </c:pt>
                <c:pt idx="2">
                  <c:v>0</c:v>
                </c:pt>
              </c:numCache>
            </c:numRef>
          </c:val>
          <c:extLst>
            <c:ext xmlns:c16="http://schemas.microsoft.com/office/drawing/2014/chart" uri="{C3380CC4-5D6E-409C-BE32-E72D297353CC}">
              <c16:uniqueId val="{00000000-6F9A-49CF-B1B2-F1B194867D77}"/>
            </c:ext>
          </c:extLst>
        </c:ser>
        <c:ser>
          <c:idx val="1"/>
          <c:order val="1"/>
          <c:tx>
            <c:strRef>
              <c:f>Calculations!$L$2:$N$2</c:f>
              <c:strCache>
                <c:ptCount val="3"/>
                <c:pt idx="0">
                  <c:v>No Gift Aid</c:v>
                </c:pt>
              </c:strCache>
            </c:strRef>
          </c:tx>
          <c:spPr>
            <a:solidFill>
              <a:srgbClr val="FFF7D1"/>
            </a:solidFill>
            <a:ln>
              <a:solidFill>
                <a:schemeClr val="bg2">
                  <a:lumMod val="25000"/>
                </a:schemeClr>
              </a:solidFill>
            </a:ln>
            <a:effectLst/>
          </c:spPr>
          <c:invertIfNegative val="0"/>
          <c:cat>
            <c:strRef>
              <c:f>'2b Giving history'!$I$6:$I$8</c:f>
              <c:strCache>
                <c:ptCount val="3"/>
                <c:pt idx="0">
                  <c:v>PGS</c:v>
                </c:pt>
                <c:pt idx="1">
                  <c:v>SO</c:v>
                </c:pt>
                <c:pt idx="2">
                  <c:v>Envelope</c:v>
                </c:pt>
              </c:strCache>
            </c:strRef>
          </c:cat>
          <c:val>
            <c:numRef>
              <c:f>(Calculations!$Q$42,Calculations!$U$42,Calculations!$Y$42)</c:f>
              <c:numCache>
                <c:formatCode>0</c:formatCode>
                <c:ptCount val="3"/>
                <c:pt idx="0">
                  <c:v>0</c:v>
                </c:pt>
                <c:pt idx="1">
                  <c:v>0</c:v>
                </c:pt>
                <c:pt idx="2">
                  <c:v>0</c:v>
                </c:pt>
              </c:numCache>
            </c:numRef>
          </c:val>
          <c:extLst>
            <c:ext xmlns:c16="http://schemas.microsoft.com/office/drawing/2014/chart" uri="{C3380CC4-5D6E-409C-BE32-E72D297353CC}">
              <c16:uniqueId val="{00000001-6F9A-49CF-B1B2-F1B194867D77}"/>
            </c:ext>
          </c:extLst>
        </c:ser>
        <c:dLbls>
          <c:showLegendKey val="0"/>
          <c:showVal val="0"/>
          <c:showCatName val="0"/>
          <c:showSerName val="0"/>
          <c:showPercent val="0"/>
          <c:showBubbleSize val="0"/>
        </c:dLbls>
        <c:gapWidth val="40"/>
        <c:overlap val="100"/>
        <c:axId val="67227648"/>
        <c:axId val="67229184"/>
      </c:barChart>
      <c:catAx>
        <c:axId val="67227648"/>
        <c:scaling>
          <c:orientation val="minMax"/>
        </c:scaling>
        <c:delete val="0"/>
        <c:axPos val="b"/>
        <c:numFmt formatCode="General" sourceLinked="0"/>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9184"/>
        <c:crosses val="autoZero"/>
        <c:auto val="1"/>
        <c:lblAlgn val="ctr"/>
        <c:lblOffset val="100"/>
        <c:noMultiLvlLbl val="0"/>
      </c:catAx>
      <c:valAx>
        <c:axId val="67229184"/>
        <c:scaling>
          <c:orientation val="minMax"/>
        </c:scaling>
        <c:delete val="0"/>
        <c:axPos val="l"/>
        <c:majorGridlines>
          <c:spPr>
            <a:ln w="12700" cap="flat" cmpd="sng" algn="ctr">
              <a:solidFill>
                <a:schemeClr val="tx1">
                  <a:tint val="75000"/>
                </a:schemeClr>
              </a:solidFill>
              <a:prstDash val="solid"/>
              <a:round/>
            </a:ln>
            <a:effectLst/>
          </c:spPr>
        </c:majorGridlines>
        <c:numFmt formatCode="0" sourceLinked="1"/>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7648"/>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GB"/>
              <a:t>Proportion of giving by method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tx>
            <c:strRef>
              <c:f>Calculations!$F$3</c:f>
              <c:strCache>
                <c:ptCount val="1"/>
                <c:pt idx="0">
                  <c:v>% Annual total</c:v>
                </c:pt>
              </c:strCache>
            </c:strRef>
          </c:tx>
          <c:spPr>
            <a:solidFill>
              <a:srgbClr val="99CCFF"/>
            </a:solidFill>
            <a:ln>
              <a:solidFill>
                <a:schemeClr val="accent6">
                  <a:lumMod val="50000"/>
                </a:schemeClr>
              </a:solidFill>
            </a:ln>
          </c:spPr>
          <c:dPt>
            <c:idx val="0"/>
            <c:bubble3D val="0"/>
            <c:spPr>
              <a:solidFill>
                <a:srgbClr val="99CCFF"/>
              </a:solidFill>
              <a:ln>
                <a:solidFill>
                  <a:schemeClr val="accent6">
                    <a:lumMod val="50000"/>
                  </a:schemeClr>
                </a:solidFill>
              </a:ln>
              <a:effectLst/>
            </c:spPr>
            <c:extLst>
              <c:ext xmlns:c16="http://schemas.microsoft.com/office/drawing/2014/chart" uri="{C3380CC4-5D6E-409C-BE32-E72D297353CC}">
                <c16:uniqueId val="{00000001-5379-4325-AB7A-F75A8D6E65A5}"/>
              </c:ext>
            </c:extLst>
          </c:dPt>
          <c:dPt>
            <c:idx val="1"/>
            <c:bubble3D val="0"/>
            <c:spPr>
              <a:solidFill>
                <a:srgbClr val="99FFCC"/>
              </a:solidFill>
              <a:ln>
                <a:solidFill>
                  <a:schemeClr val="accent6">
                    <a:lumMod val="50000"/>
                  </a:schemeClr>
                </a:solidFill>
              </a:ln>
              <a:effectLst/>
            </c:spPr>
            <c:extLst>
              <c:ext xmlns:c16="http://schemas.microsoft.com/office/drawing/2014/chart" uri="{C3380CC4-5D6E-409C-BE32-E72D297353CC}">
                <c16:uniqueId val="{00000003-5379-4325-AB7A-F75A8D6E65A5}"/>
              </c:ext>
            </c:extLst>
          </c:dPt>
          <c:dPt>
            <c:idx val="2"/>
            <c:bubble3D val="0"/>
            <c:spPr>
              <a:solidFill>
                <a:srgbClr val="FFD09B"/>
              </a:solidFill>
              <a:ln>
                <a:solidFill>
                  <a:schemeClr val="accent6">
                    <a:lumMod val="50000"/>
                  </a:schemeClr>
                </a:solidFill>
              </a:ln>
              <a:effectLst/>
            </c:spPr>
            <c:extLst>
              <c:ext xmlns:c16="http://schemas.microsoft.com/office/drawing/2014/chart" uri="{C3380CC4-5D6E-409C-BE32-E72D297353CC}">
                <c16:uniqueId val="{00000005-5379-4325-AB7A-F75A8D6E65A5}"/>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12700" cap="flat" cmpd="sng" algn="ctr">
                  <a:solidFill>
                    <a:schemeClr val="tx1"/>
                  </a:solidFill>
                  <a:prstDash val="solid"/>
                  <a:round/>
                </a:ln>
                <a:effectLst/>
              </c:spPr>
            </c:leaderLines>
            <c:extLst>
              <c:ext xmlns:c15="http://schemas.microsoft.com/office/drawing/2012/chart" uri="{CE6537A1-D6FC-4f65-9D91-7224C49458BB}"/>
            </c:extLst>
          </c:dLbls>
          <c:cat>
            <c:strRef>
              <c:f>'2b Giving history'!$I$6:$I$8</c:f>
              <c:strCache>
                <c:ptCount val="3"/>
                <c:pt idx="0">
                  <c:v>PGS</c:v>
                </c:pt>
                <c:pt idx="1">
                  <c:v>SO</c:v>
                </c:pt>
                <c:pt idx="2">
                  <c:v>Envelope</c:v>
                </c:pt>
              </c:strCache>
            </c:strRef>
          </c:cat>
          <c:val>
            <c:numRef>
              <c:f>(Calculations!$S$14,Calculations!$W$14,Calculations!$AA$14)</c:f>
              <c:numCache>
                <c:formatCode>0%</c:formatCode>
                <c:ptCount val="3"/>
                <c:pt idx="0">
                  <c:v>0</c:v>
                </c:pt>
                <c:pt idx="1">
                  <c:v>0</c:v>
                </c:pt>
                <c:pt idx="2">
                  <c:v>0</c:v>
                </c:pt>
              </c:numCache>
            </c:numRef>
          </c:val>
          <c:extLst>
            <c:ext xmlns:c16="http://schemas.microsoft.com/office/drawing/2014/chart" uri="{C3380CC4-5D6E-409C-BE32-E72D297353CC}">
              <c16:uniqueId val="{00000006-5379-4325-AB7A-F75A8D6E65A5}"/>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GB" b="1">
                <a:solidFill>
                  <a:sysClr val="windowText" lastClr="000000"/>
                </a:solidFill>
              </a:rPr>
              <a:t>Total Annual  Giving By Age &amp; Method</a:t>
            </a:r>
          </a:p>
        </c:rich>
      </c:tx>
      <c:overlay val="1"/>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Calculations!$Q$18</c:f>
              <c:strCache>
                <c:ptCount val="1"/>
                <c:pt idx="0">
                  <c:v>PGS</c:v>
                </c:pt>
              </c:strCache>
            </c:strRef>
          </c:tx>
          <c:spPr>
            <a:solidFill>
              <a:schemeClr val="accent2"/>
            </a:solidFill>
            <a:ln>
              <a:noFill/>
            </a:ln>
            <a:effectLst/>
          </c:spPr>
          <c:invertIfNegative val="0"/>
          <c:cat>
            <c:strRef>
              <c:f>'5 Digging deeper'!$I$11:$I$14</c:f>
              <c:strCache>
                <c:ptCount val="4"/>
                <c:pt idx="0">
                  <c:v>18 to 29</c:v>
                </c:pt>
                <c:pt idx="1">
                  <c:v>30 to 49</c:v>
                </c:pt>
                <c:pt idx="2">
                  <c:v>50 to 69</c:v>
                </c:pt>
                <c:pt idx="3">
                  <c:v>70 +</c:v>
                </c:pt>
              </c:strCache>
            </c:strRef>
          </c:cat>
          <c:val>
            <c:numRef>
              <c:f>Calculations!$R$20:$R$23</c:f>
              <c:numCache>
                <c:formatCode>"£"#,##0</c:formatCode>
                <c:ptCount val="4"/>
                <c:pt idx="0">
                  <c:v>0</c:v>
                </c:pt>
                <c:pt idx="1">
                  <c:v>0</c:v>
                </c:pt>
                <c:pt idx="2">
                  <c:v>0</c:v>
                </c:pt>
                <c:pt idx="3">
                  <c:v>0</c:v>
                </c:pt>
              </c:numCache>
            </c:numRef>
          </c:val>
          <c:extLst>
            <c:ext xmlns:c16="http://schemas.microsoft.com/office/drawing/2014/chart" uri="{C3380CC4-5D6E-409C-BE32-E72D297353CC}">
              <c16:uniqueId val="{00000001-4631-43B3-B0BB-D2584D26CD70}"/>
            </c:ext>
          </c:extLst>
        </c:ser>
        <c:ser>
          <c:idx val="0"/>
          <c:order val="1"/>
          <c:tx>
            <c:strRef>
              <c:f>Calculations!$U$18</c:f>
              <c:strCache>
                <c:ptCount val="1"/>
                <c:pt idx="0">
                  <c:v>SO</c:v>
                </c:pt>
              </c:strCache>
            </c:strRef>
          </c:tx>
          <c:spPr>
            <a:solidFill>
              <a:schemeClr val="accent1"/>
            </a:solidFill>
            <a:ln>
              <a:noFill/>
            </a:ln>
            <a:effectLst/>
          </c:spPr>
          <c:invertIfNegative val="0"/>
          <c:cat>
            <c:strRef>
              <c:f>'5 Digging deeper'!$I$11:$I$14</c:f>
              <c:strCache>
                <c:ptCount val="4"/>
                <c:pt idx="0">
                  <c:v>18 to 29</c:v>
                </c:pt>
                <c:pt idx="1">
                  <c:v>30 to 49</c:v>
                </c:pt>
                <c:pt idx="2">
                  <c:v>50 to 69</c:v>
                </c:pt>
                <c:pt idx="3">
                  <c:v>70 +</c:v>
                </c:pt>
              </c:strCache>
            </c:strRef>
          </c:cat>
          <c:val>
            <c:numRef>
              <c:f>Calculations!$V$20:$V$23</c:f>
              <c:numCache>
                <c:formatCode>"£"#,##0</c:formatCode>
                <c:ptCount val="4"/>
                <c:pt idx="0">
                  <c:v>0</c:v>
                </c:pt>
                <c:pt idx="1">
                  <c:v>0</c:v>
                </c:pt>
                <c:pt idx="2">
                  <c:v>0</c:v>
                </c:pt>
                <c:pt idx="3">
                  <c:v>0</c:v>
                </c:pt>
              </c:numCache>
            </c:numRef>
          </c:val>
          <c:extLst>
            <c:ext xmlns:c16="http://schemas.microsoft.com/office/drawing/2014/chart" uri="{C3380CC4-5D6E-409C-BE32-E72D297353CC}">
              <c16:uniqueId val="{00000002-4631-43B3-B0BB-D2584D26CD70}"/>
            </c:ext>
          </c:extLst>
        </c:ser>
        <c:ser>
          <c:idx val="2"/>
          <c:order val="2"/>
          <c:tx>
            <c:strRef>
              <c:f>Calculations!$Y$18</c:f>
              <c:strCache>
                <c:ptCount val="1"/>
                <c:pt idx="0">
                  <c:v>Envelope</c:v>
                </c:pt>
              </c:strCache>
            </c:strRef>
          </c:tx>
          <c:spPr>
            <a:solidFill>
              <a:schemeClr val="accent3"/>
            </a:solidFill>
            <a:ln>
              <a:noFill/>
            </a:ln>
            <a:effectLst/>
          </c:spPr>
          <c:invertIfNegative val="0"/>
          <c:cat>
            <c:strRef>
              <c:f>'5 Digging deeper'!$I$11:$I$14</c:f>
              <c:strCache>
                <c:ptCount val="4"/>
                <c:pt idx="0">
                  <c:v>18 to 29</c:v>
                </c:pt>
                <c:pt idx="1">
                  <c:v>30 to 49</c:v>
                </c:pt>
                <c:pt idx="2">
                  <c:v>50 to 69</c:v>
                </c:pt>
                <c:pt idx="3">
                  <c:v>70 +</c:v>
                </c:pt>
              </c:strCache>
            </c:strRef>
          </c:cat>
          <c:val>
            <c:numRef>
              <c:f>Calculations!$Z$20:$Z$23</c:f>
              <c:numCache>
                <c:formatCode>"£"#,##0</c:formatCode>
                <c:ptCount val="4"/>
                <c:pt idx="0">
                  <c:v>0</c:v>
                </c:pt>
                <c:pt idx="1">
                  <c:v>0</c:v>
                </c:pt>
                <c:pt idx="2">
                  <c:v>0</c:v>
                </c:pt>
                <c:pt idx="3">
                  <c:v>0</c:v>
                </c:pt>
              </c:numCache>
            </c:numRef>
          </c:val>
          <c:extLst>
            <c:ext xmlns:c16="http://schemas.microsoft.com/office/drawing/2014/chart" uri="{C3380CC4-5D6E-409C-BE32-E72D297353CC}">
              <c16:uniqueId val="{00000003-4631-43B3-B0BB-D2584D26CD70}"/>
            </c:ext>
          </c:extLst>
        </c:ser>
        <c:dLbls>
          <c:showLegendKey val="0"/>
          <c:showVal val="0"/>
          <c:showCatName val="0"/>
          <c:showSerName val="0"/>
          <c:showPercent val="0"/>
          <c:showBubbleSize val="0"/>
        </c:dLbls>
        <c:gapWidth val="219"/>
        <c:overlap val="-27"/>
        <c:axId val="1777222447"/>
        <c:axId val="1777224367"/>
      </c:barChart>
      <c:catAx>
        <c:axId val="1777222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224367"/>
        <c:crosses val="autoZero"/>
        <c:auto val="1"/>
        <c:lblAlgn val="ctr"/>
        <c:lblOffset val="100"/>
        <c:noMultiLvlLbl val="0"/>
      </c:catAx>
      <c:valAx>
        <c:axId val="17772243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222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 of planned giving</a:t>
            </a:r>
            <a:r>
              <a:rPr lang="en-US" baseline="0"/>
              <a:t> by age group</a:t>
            </a:r>
            <a:endParaRPr lang="en-US"/>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Calculations!$M$19</c:f>
              <c:strCache>
                <c:ptCount val="1"/>
                <c:pt idx="0">
                  <c:v>£ Annual total</c:v>
                </c:pt>
              </c:strCache>
            </c:strRef>
          </c:tx>
          <c:spPr>
            <a:ln w="9525">
              <a:solidFill>
                <a:srgbClr val="7030A0"/>
              </a:solidFill>
            </a:ln>
          </c:spPr>
          <c:dPt>
            <c:idx val="0"/>
            <c:bubble3D val="0"/>
            <c:spPr>
              <a:solidFill>
                <a:schemeClr val="accent1"/>
              </a:solidFill>
              <a:ln w="9525">
                <a:solidFill>
                  <a:srgbClr val="7030A0"/>
                </a:solidFill>
              </a:ln>
              <a:effectLst/>
            </c:spPr>
            <c:extLst>
              <c:ext xmlns:c16="http://schemas.microsoft.com/office/drawing/2014/chart" uri="{C3380CC4-5D6E-409C-BE32-E72D297353CC}">
                <c16:uniqueId val="{00000001-C91E-4952-B27E-2C675B97D205}"/>
              </c:ext>
            </c:extLst>
          </c:dPt>
          <c:dPt>
            <c:idx val="1"/>
            <c:bubble3D val="0"/>
            <c:spPr>
              <a:solidFill>
                <a:schemeClr val="accent2"/>
              </a:solidFill>
              <a:ln w="9525">
                <a:solidFill>
                  <a:srgbClr val="7030A0"/>
                </a:solidFill>
              </a:ln>
              <a:effectLst/>
            </c:spPr>
            <c:extLst>
              <c:ext xmlns:c16="http://schemas.microsoft.com/office/drawing/2014/chart" uri="{C3380CC4-5D6E-409C-BE32-E72D297353CC}">
                <c16:uniqueId val="{00000003-C91E-4952-B27E-2C675B97D205}"/>
              </c:ext>
            </c:extLst>
          </c:dPt>
          <c:dPt>
            <c:idx val="2"/>
            <c:bubble3D val="0"/>
            <c:spPr>
              <a:solidFill>
                <a:schemeClr val="accent3"/>
              </a:solidFill>
              <a:ln w="9525">
                <a:solidFill>
                  <a:srgbClr val="7030A0"/>
                </a:solidFill>
              </a:ln>
              <a:effectLst/>
            </c:spPr>
            <c:extLst>
              <c:ext xmlns:c16="http://schemas.microsoft.com/office/drawing/2014/chart" uri="{C3380CC4-5D6E-409C-BE32-E72D297353CC}">
                <c16:uniqueId val="{00000005-C91E-4952-B27E-2C675B97D205}"/>
              </c:ext>
            </c:extLst>
          </c:dPt>
          <c:dPt>
            <c:idx val="3"/>
            <c:bubble3D val="0"/>
            <c:spPr>
              <a:solidFill>
                <a:schemeClr val="accent4"/>
              </a:solidFill>
              <a:ln w="9525">
                <a:solidFill>
                  <a:srgbClr val="7030A0"/>
                </a:solidFill>
              </a:ln>
              <a:effectLst/>
            </c:spPr>
            <c:extLst>
              <c:ext xmlns:c16="http://schemas.microsoft.com/office/drawing/2014/chart" uri="{C3380CC4-5D6E-409C-BE32-E72D297353CC}">
                <c16:uniqueId val="{00000007-C91E-4952-B27E-2C675B97D20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0"/>
            <c:extLst>
              <c:ext xmlns:c15="http://schemas.microsoft.com/office/drawing/2012/chart" uri="{CE6537A1-D6FC-4f65-9D91-7224C49458BB}"/>
            </c:extLst>
          </c:dLbls>
          <c:cat>
            <c:strRef>
              <c:f>'5 Digging deeper'!$I$11:$I$14</c:f>
              <c:strCache>
                <c:ptCount val="4"/>
                <c:pt idx="0">
                  <c:v>18 to 29</c:v>
                </c:pt>
                <c:pt idx="1">
                  <c:v>30 to 49</c:v>
                </c:pt>
                <c:pt idx="2">
                  <c:v>50 to 69</c:v>
                </c:pt>
                <c:pt idx="3">
                  <c:v>70 +</c:v>
                </c:pt>
              </c:strCache>
            </c:strRef>
          </c:cat>
          <c:val>
            <c:numRef>
              <c:f>Calculations!$M$20:$M$23</c:f>
              <c:numCache>
                <c:formatCode>"£"#,##0</c:formatCode>
                <c:ptCount val="4"/>
                <c:pt idx="0">
                  <c:v>0</c:v>
                </c:pt>
                <c:pt idx="1">
                  <c:v>0</c:v>
                </c:pt>
                <c:pt idx="2">
                  <c:v>0</c:v>
                </c:pt>
                <c:pt idx="3">
                  <c:v>0</c:v>
                </c:pt>
              </c:numCache>
            </c:numRef>
          </c:val>
          <c:extLst>
            <c:ext xmlns:c16="http://schemas.microsoft.com/office/drawing/2014/chart" uri="{C3380CC4-5D6E-409C-BE32-E72D297353CC}">
              <c16:uniqueId val="{00000000-514A-435A-85A4-226C82F8A21E}"/>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 of givers by age group</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pieChart>
        <c:varyColors val="1"/>
        <c:ser>
          <c:idx val="0"/>
          <c:order val="0"/>
          <c:tx>
            <c:strRef>
              <c:f>Calculations!$L$19</c:f>
              <c:strCache>
                <c:ptCount val="1"/>
                <c:pt idx="0">
                  <c:v>Number of givers</c:v>
                </c:pt>
              </c:strCache>
            </c:strRef>
          </c:tx>
          <c:spPr>
            <a:ln w="9525">
              <a:solidFill>
                <a:srgbClr val="7030A0"/>
              </a:solidFill>
            </a:ln>
          </c:spPr>
          <c:dPt>
            <c:idx val="0"/>
            <c:bubble3D val="0"/>
            <c:spPr>
              <a:solidFill>
                <a:schemeClr val="accent1"/>
              </a:solidFill>
              <a:ln w="9525">
                <a:solidFill>
                  <a:srgbClr val="7030A0"/>
                </a:solidFill>
              </a:ln>
              <a:effectLst/>
            </c:spPr>
            <c:extLst>
              <c:ext xmlns:c16="http://schemas.microsoft.com/office/drawing/2014/chart" uri="{C3380CC4-5D6E-409C-BE32-E72D297353CC}">
                <c16:uniqueId val="{00000001-27B6-4932-A134-CD9A5D5FCD85}"/>
              </c:ext>
            </c:extLst>
          </c:dPt>
          <c:dPt>
            <c:idx val="1"/>
            <c:bubble3D val="0"/>
            <c:spPr>
              <a:solidFill>
                <a:schemeClr val="accent2"/>
              </a:solidFill>
              <a:ln w="9525">
                <a:solidFill>
                  <a:srgbClr val="7030A0"/>
                </a:solidFill>
              </a:ln>
              <a:effectLst/>
            </c:spPr>
            <c:extLst>
              <c:ext xmlns:c16="http://schemas.microsoft.com/office/drawing/2014/chart" uri="{C3380CC4-5D6E-409C-BE32-E72D297353CC}">
                <c16:uniqueId val="{00000003-27B6-4932-A134-CD9A5D5FCD85}"/>
              </c:ext>
            </c:extLst>
          </c:dPt>
          <c:dPt>
            <c:idx val="2"/>
            <c:bubble3D val="0"/>
            <c:spPr>
              <a:solidFill>
                <a:schemeClr val="accent3"/>
              </a:solidFill>
              <a:ln w="9525">
                <a:solidFill>
                  <a:srgbClr val="7030A0"/>
                </a:solidFill>
              </a:ln>
              <a:effectLst/>
            </c:spPr>
            <c:extLst>
              <c:ext xmlns:c16="http://schemas.microsoft.com/office/drawing/2014/chart" uri="{C3380CC4-5D6E-409C-BE32-E72D297353CC}">
                <c16:uniqueId val="{00000005-27B6-4932-A134-CD9A5D5FCD85}"/>
              </c:ext>
            </c:extLst>
          </c:dPt>
          <c:dPt>
            <c:idx val="3"/>
            <c:bubble3D val="0"/>
            <c:spPr>
              <a:solidFill>
                <a:schemeClr val="accent4"/>
              </a:solidFill>
              <a:ln w="9525">
                <a:solidFill>
                  <a:srgbClr val="7030A0"/>
                </a:solidFill>
              </a:ln>
              <a:effectLst/>
            </c:spPr>
            <c:extLst>
              <c:ext xmlns:c16="http://schemas.microsoft.com/office/drawing/2014/chart" uri="{C3380CC4-5D6E-409C-BE32-E72D297353CC}">
                <c16:uniqueId val="{00000007-27B6-4932-A134-CD9A5D5FCD8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0"/>
            <c:extLst>
              <c:ext xmlns:c15="http://schemas.microsoft.com/office/drawing/2012/chart" uri="{CE6537A1-D6FC-4f65-9D91-7224C49458BB}"/>
            </c:extLst>
          </c:dLbls>
          <c:cat>
            <c:strRef>
              <c:f>'5 Digging deeper'!$I$11:$I$14</c:f>
              <c:strCache>
                <c:ptCount val="4"/>
                <c:pt idx="0">
                  <c:v>18 to 29</c:v>
                </c:pt>
                <c:pt idx="1">
                  <c:v>30 to 49</c:v>
                </c:pt>
                <c:pt idx="2">
                  <c:v>50 to 69</c:v>
                </c:pt>
                <c:pt idx="3">
                  <c:v>70 +</c:v>
                </c:pt>
              </c:strCache>
            </c:strRef>
          </c:cat>
          <c:val>
            <c:numRef>
              <c:f>Calculations!$L$20:$L$23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27B6-4932-A134-CD9A5D5FCD85}"/>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Unrestricted</a:t>
            </a:r>
            <a:r>
              <a:rPr lang="en-GB" sz="1100" b="0" i="0" u="none" strike="noStrike" kern="1200" spc="0" baseline="0">
                <a:solidFill>
                  <a:sysClr val="windowText" lastClr="000000">
                    <a:lumMod val="65000"/>
                    <a:lumOff val="35000"/>
                  </a:sysClr>
                </a:solidFill>
              </a:rPr>
              <a:t> </a:t>
            </a:r>
            <a:r>
              <a:rPr lang="en-GB"/>
              <a:t>Income &amp; Expenditure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'4 Print report'!$B$9:$C$9</c:f>
              <c:strCache>
                <c:ptCount val="2"/>
                <c:pt idx="0">
                  <c:v>Unrestricted Income</c:v>
                </c:pt>
              </c:strCache>
            </c:strRef>
          </c:tx>
          <c:spPr>
            <a:solidFill>
              <a:schemeClr val="accent3">
                <a:lumMod val="90000"/>
              </a:schemeClr>
            </a:solidFill>
            <a:ln w="12700">
              <a:solidFill>
                <a:schemeClr val="accent3">
                  <a:lumMod val="50000"/>
                </a:schemeClr>
              </a:solidFill>
            </a:ln>
            <a:effectLst/>
          </c:spPr>
          <c:invertIfNegative val="0"/>
          <c:val>
            <c:numRef>
              <c:f>'4 Print report'!$D$9:$G$9</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93FB-473E-96EF-1FCEF3F5E70C}"/>
            </c:ext>
          </c:extLst>
        </c:ser>
        <c:ser>
          <c:idx val="1"/>
          <c:order val="1"/>
          <c:tx>
            <c:strRef>
              <c:f>'4 Print report'!$B$10:$C$10</c:f>
              <c:strCache>
                <c:ptCount val="2"/>
                <c:pt idx="0">
                  <c:v>Unrestricted Expenditure</c:v>
                </c:pt>
              </c:strCache>
            </c:strRef>
          </c:tx>
          <c:spPr>
            <a:solidFill>
              <a:srgbClr val="FFF7D1"/>
            </a:solidFill>
            <a:ln w="12700">
              <a:solidFill>
                <a:srgbClr val="FFC000"/>
              </a:solidFill>
            </a:ln>
            <a:effectLst/>
          </c:spPr>
          <c:invertIfNegative val="0"/>
          <c:val>
            <c:numRef>
              <c:f>'4 Print report'!$D$10:$G$10</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1-93FB-473E-96EF-1FCEF3F5E70C}"/>
            </c:ext>
          </c:extLst>
        </c:ser>
        <c:dLbls>
          <c:showLegendKey val="0"/>
          <c:showVal val="0"/>
          <c:showCatName val="0"/>
          <c:showSerName val="0"/>
          <c:showPercent val="0"/>
          <c:showBubbleSize val="0"/>
        </c:dLbls>
        <c:gapWidth val="200"/>
        <c:axId val="189051600"/>
        <c:axId val="189054000"/>
      </c:barChart>
      <c:catAx>
        <c:axId val="18905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4000"/>
        <c:crosses val="autoZero"/>
        <c:auto val="1"/>
        <c:lblAlgn val="ctr"/>
        <c:lblOffset val="100"/>
        <c:noMultiLvlLbl val="0"/>
      </c:catAx>
      <c:valAx>
        <c:axId val="1890540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519230769230782E-2"/>
          <c:y val="0.18727464023893564"/>
          <c:w val="0.84294871794871806"/>
          <c:h val="0.60459770114942535"/>
        </c:manualLayout>
      </c:layout>
      <c:pieChart>
        <c:varyColors val="1"/>
        <c:ser>
          <c:idx val="0"/>
          <c:order val="0"/>
          <c:tx>
            <c:v>Planned Expenditure</c:v>
          </c:tx>
          <c:spPr>
            <a:solidFill>
              <a:schemeClr val="accent1">
                <a:lumMod val="50000"/>
              </a:schemeClr>
            </a:solidFill>
          </c:spPr>
          <c:dPt>
            <c:idx val="0"/>
            <c:bubble3D val="0"/>
            <c:spPr>
              <a:solidFill>
                <a:srgbClr val="660066"/>
              </a:solidFill>
              <a:ln w="19050">
                <a:solidFill>
                  <a:schemeClr val="lt1"/>
                </a:solidFill>
              </a:ln>
              <a:effectLst/>
            </c:spPr>
            <c:extLst>
              <c:ext xmlns:c16="http://schemas.microsoft.com/office/drawing/2014/chart" uri="{C3380CC4-5D6E-409C-BE32-E72D297353CC}">
                <c16:uniqueId val="{00000001-417C-40CC-A793-4B94E9BBFD04}"/>
              </c:ext>
            </c:extLst>
          </c:dPt>
          <c:dPt>
            <c:idx val="1"/>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3-417C-40CC-A793-4B94E9BBFD04}"/>
              </c:ext>
            </c:extLst>
          </c:dPt>
          <c:dPt>
            <c:idx val="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5-417C-40CC-A793-4B94E9BBFD04}"/>
              </c:ext>
            </c:extLst>
          </c:dPt>
          <c:dPt>
            <c:idx val="3"/>
            <c:bubble3D val="0"/>
            <c:spPr>
              <a:solidFill>
                <a:srgbClr val="501E82"/>
              </a:solidFill>
              <a:ln w="19050">
                <a:solidFill>
                  <a:schemeClr val="lt1"/>
                </a:solidFill>
              </a:ln>
              <a:effectLst/>
            </c:spPr>
            <c:extLst>
              <c:ext xmlns:c16="http://schemas.microsoft.com/office/drawing/2014/chart" uri="{C3380CC4-5D6E-409C-BE32-E72D297353CC}">
                <c16:uniqueId val="{00000007-417C-40CC-A793-4B94E9BBFD04}"/>
              </c:ext>
            </c:extLst>
          </c:dPt>
          <c:dLbls>
            <c:dLbl>
              <c:idx val="0"/>
              <c:tx>
                <c:rich>
                  <a:bodyPr/>
                  <a:lstStyle/>
                  <a:p>
                    <a:fld id="{16DD6A10-14D8-4714-85A4-FBAF99E510CF}"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17C-40CC-A793-4B94E9BBFD04}"/>
                </c:ext>
              </c:extLst>
            </c:dLbl>
            <c:dLbl>
              <c:idx val="3"/>
              <c:tx>
                <c:rich>
                  <a:bodyPr/>
                  <a:lstStyle/>
                  <a:p>
                    <a:fld id="{BB0F50F1-98EC-4CD0-88A9-72A8FD98F97C}"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417C-40CC-A793-4B94E9BBFD04}"/>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Calculations!$C$51:$C$54</c:f>
              <c:strCache>
                <c:ptCount val="4"/>
                <c:pt idx="0">
                  <c:v>Resource</c:v>
                </c:pt>
                <c:pt idx="1">
                  <c:v>Sustain</c:v>
                </c:pt>
                <c:pt idx="2">
                  <c:v>Maintain</c:v>
                </c:pt>
                <c:pt idx="3">
                  <c:v>Enable</c:v>
                </c:pt>
              </c:strCache>
            </c:strRef>
          </c:cat>
          <c:val>
            <c:numRef>
              <c:f>Calculations!$B$51:$B$54</c:f>
              <c:numCache>
                <c:formatCode>"£"#,##0</c:formatCode>
                <c:ptCount val="4"/>
                <c:pt idx="0">
                  <c:v>0</c:v>
                </c:pt>
                <c:pt idx="1">
                  <c:v>0</c:v>
                </c:pt>
                <c:pt idx="2">
                  <c:v>0</c:v>
                </c:pt>
                <c:pt idx="3">
                  <c:v>0</c:v>
                </c:pt>
              </c:numCache>
            </c:numRef>
          </c:val>
          <c:extLst>
            <c:ext xmlns:c16="http://schemas.microsoft.com/office/drawing/2014/chart" uri="{C3380CC4-5D6E-409C-BE32-E72D297353CC}">
              <c16:uniqueId val="{00000008-417C-40CC-A793-4B94E9BBFD04}"/>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Planned Income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112479741685177E-2"/>
          <c:y val="0.15966348278630121"/>
          <c:w val="0.83958141595936875"/>
          <c:h val="0.61093252518692898"/>
        </c:manualLayout>
      </c:layout>
      <c:pieChart>
        <c:varyColors val="1"/>
        <c:ser>
          <c:idx val="0"/>
          <c:order val="0"/>
          <c:tx>
            <c:v>Planned income</c:v>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FA56-4FB0-858A-1CDD1E7A36D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FA56-4FB0-858A-1CDD1E7A36DA}"/>
              </c:ext>
            </c:extLst>
          </c:dPt>
          <c:dPt>
            <c:idx val="2"/>
            <c:bubble3D val="0"/>
            <c:spPr>
              <a:solidFill>
                <a:srgbClr val="66FFCC"/>
              </a:solidFill>
              <a:ln w="19050">
                <a:solidFill>
                  <a:schemeClr val="lt1"/>
                </a:solidFill>
              </a:ln>
              <a:effectLst/>
            </c:spPr>
            <c:extLst>
              <c:ext xmlns:c16="http://schemas.microsoft.com/office/drawing/2014/chart" uri="{C3380CC4-5D6E-409C-BE32-E72D297353CC}">
                <c16:uniqueId val="{00000005-FA56-4FB0-858A-1CDD1E7A36D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FA56-4FB0-858A-1CDD1E7A36DA}"/>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Calculations!$A$45:$A$48</c:f>
              <c:strCache>
                <c:ptCount val="4"/>
                <c:pt idx="0">
                  <c:v>Planned giving</c:v>
                </c:pt>
                <c:pt idx="1">
                  <c:v>Other income</c:v>
                </c:pt>
                <c:pt idx="2">
                  <c:v>Trading income</c:v>
                </c:pt>
                <c:pt idx="3">
                  <c:v>One-off income</c:v>
                </c:pt>
              </c:strCache>
            </c:strRef>
          </c:cat>
          <c:val>
            <c:numRef>
              <c:f>Calculations!$B$45:$B$48</c:f>
              <c:numCache>
                <c:formatCode>"£"#,##0</c:formatCode>
                <c:ptCount val="4"/>
                <c:pt idx="0">
                  <c:v>0</c:v>
                </c:pt>
                <c:pt idx="1">
                  <c:v>0</c:v>
                </c:pt>
                <c:pt idx="2">
                  <c:v>0</c:v>
                </c:pt>
                <c:pt idx="3">
                  <c:v>0</c:v>
                </c:pt>
              </c:numCache>
            </c:numRef>
          </c:val>
          <c:extLst>
            <c:ext xmlns:c16="http://schemas.microsoft.com/office/drawing/2014/chart" uri="{C3380CC4-5D6E-409C-BE32-E72D297353CC}">
              <c16:uniqueId val="{00000008-FA56-4FB0-858A-1CDD1E7A36DA}"/>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Cumulative Giving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4">
                  <a:lumMod val="50000"/>
                </a:schemeClr>
              </a:solidFill>
              <a:ln w="9525">
                <a:solidFill>
                  <a:schemeClr val="accent4">
                    <a:lumMod val="25000"/>
                  </a:schemeClr>
                </a:solidFill>
              </a:ln>
              <a:effectLst/>
            </c:spPr>
          </c:marker>
          <c:dLbls>
            <c:delete val="1"/>
          </c:dLbls>
          <c:xVal>
            <c:numRef>
              <c:f>Calculations!$B$20:$B$40</c:f>
              <c:numCache>
                <c:formatCode>0%</c:formatCode>
                <c:ptCount val="2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Calculations!$F$20:$F$40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0-3D42-429E-BFFA-5340045786BE}"/>
            </c:ext>
          </c:extLst>
        </c:ser>
        <c:dLbls>
          <c:dLblPos val="t"/>
          <c:showLegendKey val="0"/>
          <c:showVal val="1"/>
          <c:showCatName val="0"/>
          <c:showSerName val="0"/>
          <c:showPercent val="0"/>
          <c:showBubbleSize val="0"/>
        </c:dLbls>
        <c:axId val="1083630304"/>
        <c:axId val="1083623104"/>
      </c:scatterChart>
      <c:valAx>
        <c:axId val="1083630304"/>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givers, with largest gifts to</a:t>
                </a:r>
                <a:r>
                  <a:rPr lang="en-GB" baseline="0"/>
                  <a:t> the left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23104"/>
        <c:crosses val="autoZero"/>
        <c:crossBetween val="midCat"/>
      </c:valAx>
      <c:valAx>
        <c:axId val="108362310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amount given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30304"/>
        <c:crosses val="autoZero"/>
        <c:crossBetween val="midCat"/>
      </c:valAx>
      <c:spPr>
        <a:noFill/>
        <a:ln>
          <a:noFill/>
        </a:ln>
        <a:effectLst/>
      </c:spPr>
    </c:plotArea>
    <c:plotVisOnly val="1"/>
    <c:dispBlanksAs val="gap"/>
    <c:showDLblsOverMax val="0"/>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Total</a:t>
            </a:r>
            <a:r>
              <a:rPr lang="en-GB"/>
              <a:t> Surplus/Deficit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'5b Report with restricted funds'!$B$11:$C$11</c:f>
              <c:strCache>
                <c:ptCount val="2"/>
                <c:pt idx="0">
                  <c:v>Surplus/Deficit</c:v>
                </c:pt>
              </c:strCache>
            </c:strRef>
          </c:tx>
          <c:spPr>
            <a:solidFill>
              <a:srgbClr val="FFD09B"/>
            </a:solidFill>
            <a:ln w="12700">
              <a:solidFill>
                <a:srgbClr val="FFC000"/>
              </a:solidFill>
            </a:ln>
            <a:effectLst/>
          </c:spPr>
          <c:invertIfNegative val="0"/>
          <c:val>
            <c:numRef>
              <c:f>'5b Report with restricted funds'!$D$11:$G$11</c:f>
              <c:numCache>
                <c:formatCode>"£"#,##0;[Red]\-"£"#,##0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9595-4A26-AB5C-5647FC7D012B}"/>
            </c:ext>
          </c:extLst>
        </c:ser>
        <c:dLbls>
          <c:showLegendKey val="0"/>
          <c:showVal val="0"/>
          <c:showCatName val="0"/>
          <c:showSerName val="0"/>
          <c:showPercent val="0"/>
          <c:showBubbleSize val="0"/>
        </c:dLbls>
        <c:gapWidth val="200"/>
        <c:axId val="189051600"/>
        <c:axId val="189054000"/>
      </c:barChart>
      <c:catAx>
        <c:axId val="189051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4000"/>
        <c:crosses val="autoZero"/>
        <c:auto val="1"/>
        <c:lblAlgn val="ctr"/>
        <c:lblOffset val="100"/>
        <c:noMultiLvlLbl val="0"/>
      </c:catAx>
      <c:valAx>
        <c:axId val="1890540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r>
              <a:rPr lang="en-GB" sz="1400" b="0">
                <a:solidFill>
                  <a:sysClr val="windowText" lastClr="000000"/>
                </a:solidFill>
                <a:latin typeface="Aptos Narrow" panose="020B0004020202020204" pitchFamily="34" charset="0"/>
                <a:ea typeface="Calibri" panose="020F0502020204030204" pitchFamily="34" charset="0"/>
                <a:cs typeface="Calibri" panose="020F0502020204030204" pitchFamily="34" charset="0"/>
              </a:rPr>
              <a:t>Reserves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barChart>
        <c:barDir val="col"/>
        <c:grouping val="stacked"/>
        <c:varyColors val="0"/>
        <c:ser>
          <c:idx val="1"/>
          <c:order val="0"/>
          <c:tx>
            <c:v>Unrestricted reserves</c:v>
          </c:tx>
          <c:spPr>
            <a:solidFill>
              <a:schemeClr val="accent1">
                <a:lumMod val="50000"/>
              </a:schemeClr>
            </a:solidFill>
            <a:ln>
              <a:noFill/>
            </a:ln>
            <a:effectLst/>
          </c:spPr>
          <c:invertIfNegative val="0"/>
          <c:dLbls>
            <c:delete val="1"/>
          </c:dLbls>
          <c:cat>
            <c:numRef>
              <c:f>Calculations!$H$58:$H$61</c:f>
              <c:numCache>
                <c:formatCode>General</c:formatCode>
                <c:ptCount val="4"/>
                <c:pt idx="0">
                  <c:v>0</c:v>
                </c:pt>
                <c:pt idx="1">
                  <c:v>0</c:v>
                </c:pt>
                <c:pt idx="2">
                  <c:v>0</c:v>
                </c:pt>
                <c:pt idx="3">
                  <c:v>0</c:v>
                </c:pt>
              </c:numCache>
            </c:numRef>
          </c:cat>
          <c:val>
            <c:numRef>
              <c:f>Calculations!$I$58:$I$61</c:f>
              <c:numCache>
                <c:formatCode>"£"#,##0</c:formatCode>
                <c:ptCount val="4"/>
                <c:pt idx="0">
                  <c:v>0</c:v>
                </c:pt>
                <c:pt idx="1">
                  <c:v>0</c:v>
                </c:pt>
                <c:pt idx="2">
                  <c:v>0</c:v>
                </c:pt>
                <c:pt idx="3">
                  <c:v>0</c:v>
                </c:pt>
              </c:numCache>
            </c:numRef>
          </c:val>
          <c:extLst>
            <c:ext xmlns:c16="http://schemas.microsoft.com/office/drawing/2014/chart" uri="{C3380CC4-5D6E-409C-BE32-E72D297353CC}">
              <c16:uniqueId val="{00000000-AB33-4866-8569-0D0B353C63DA}"/>
            </c:ext>
          </c:extLst>
        </c:ser>
        <c:ser>
          <c:idx val="2"/>
          <c:order val="1"/>
          <c:tx>
            <c:v>Restricted reserves</c:v>
          </c:tx>
          <c:spPr>
            <a:solidFill>
              <a:schemeClr val="accent1">
                <a:lumMod val="60000"/>
                <a:lumOff val="40000"/>
              </a:schemeClr>
            </a:solidFill>
            <a:ln>
              <a:noFill/>
            </a:ln>
            <a:effectLst/>
          </c:spPr>
          <c:invertIfNegative val="0"/>
          <c:dLbls>
            <c:delete val="1"/>
          </c:dLbls>
          <c:cat>
            <c:numRef>
              <c:f>Calculations!$H$58:$H$61</c:f>
              <c:numCache>
                <c:formatCode>General</c:formatCode>
                <c:ptCount val="4"/>
                <c:pt idx="0">
                  <c:v>0</c:v>
                </c:pt>
                <c:pt idx="1">
                  <c:v>0</c:v>
                </c:pt>
                <c:pt idx="2">
                  <c:v>0</c:v>
                </c:pt>
                <c:pt idx="3">
                  <c:v>0</c:v>
                </c:pt>
              </c:numCache>
            </c:numRef>
          </c:cat>
          <c:val>
            <c:numRef>
              <c:f>Calculations!$J$58:$J$61</c:f>
              <c:numCache>
                <c:formatCode>"£"#,##0</c:formatCode>
                <c:ptCount val="4"/>
                <c:pt idx="0">
                  <c:v>0</c:v>
                </c:pt>
                <c:pt idx="1">
                  <c:v>0</c:v>
                </c:pt>
                <c:pt idx="2">
                  <c:v>0</c:v>
                </c:pt>
                <c:pt idx="3">
                  <c:v>0</c:v>
                </c:pt>
              </c:numCache>
            </c:numRef>
          </c:val>
          <c:extLst>
            <c:ext xmlns:c16="http://schemas.microsoft.com/office/drawing/2014/chart" uri="{C3380CC4-5D6E-409C-BE32-E72D297353CC}">
              <c16:uniqueId val="{00000001-AB33-4866-8569-0D0B353C63DA}"/>
            </c:ext>
          </c:extLst>
        </c:ser>
        <c:dLbls>
          <c:dLblPos val="ctr"/>
          <c:showLegendKey val="0"/>
          <c:showVal val="1"/>
          <c:showCatName val="0"/>
          <c:showSerName val="0"/>
          <c:showPercent val="0"/>
          <c:showBubbleSize val="0"/>
        </c:dLbls>
        <c:gapWidth val="75"/>
        <c:overlap val="100"/>
        <c:axId val="124135664"/>
        <c:axId val="128717904"/>
      </c:barChart>
      <c:catAx>
        <c:axId val="124135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17904"/>
        <c:crosses val="autoZero"/>
        <c:auto val="1"/>
        <c:lblAlgn val="ctr"/>
        <c:lblOffset val="100"/>
        <c:noMultiLvlLbl val="0"/>
      </c:catAx>
      <c:valAx>
        <c:axId val="1287179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13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Number of givers by amount given</a:t>
            </a:r>
            <a:r>
              <a:rPr lang="en-GB" baseline="0"/>
              <a:t> and tax status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tx>
            <c:strRef>
              <c:f>Calculations!$H$2:$J$2</c:f>
              <c:strCache>
                <c:ptCount val="1"/>
                <c:pt idx="0">
                  <c:v>Gift Aid</c:v>
                </c:pt>
              </c:strCache>
            </c:strRef>
          </c:tx>
          <c:spPr>
            <a:solidFill>
              <a:srgbClr val="BFF6C3"/>
            </a:solidFill>
            <a:ln>
              <a:solidFill>
                <a:schemeClr val="accent2">
                  <a:lumMod val="50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Calculations!$H$4:$H$13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44E-4C7B-95BD-A46A99E040DC}"/>
            </c:ext>
          </c:extLst>
        </c:ser>
        <c:ser>
          <c:idx val="1"/>
          <c:order val="1"/>
          <c:tx>
            <c:strRef>
              <c:f>Calculations!$L$2:$N$2</c:f>
              <c:strCache>
                <c:ptCount val="1"/>
                <c:pt idx="0">
                  <c:v>No Gift Aid</c:v>
                </c:pt>
              </c:strCache>
            </c:strRef>
          </c:tx>
          <c:spPr>
            <a:solidFill>
              <a:srgbClr val="FFF7D1"/>
            </a:solidFill>
            <a:ln>
              <a:solidFill>
                <a:schemeClr val="bg2">
                  <a:lumMod val="25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Calculations!$L$4:$L$13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44E-4C7B-95BD-A46A99E040DC}"/>
            </c:ext>
          </c:extLst>
        </c:ser>
        <c:dLbls>
          <c:showLegendKey val="0"/>
          <c:showVal val="0"/>
          <c:showCatName val="0"/>
          <c:showSerName val="0"/>
          <c:showPercent val="0"/>
          <c:showBubbleSize val="0"/>
        </c:dLbls>
        <c:gapWidth val="150"/>
        <c:overlap val="100"/>
        <c:axId val="340554896"/>
        <c:axId val="340555856"/>
      </c:barChart>
      <c:catAx>
        <c:axId val="3405548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Weekly gift size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5856"/>
        <c:crosses val="autoZero"/>
        <c:auto val="1"/>
        <c:lblAlgn val="ctr"/>
        <c:lblOffset val="100"/>
        <c:noMultiLvlLbl val="0"/>
      </c:catAx>
      <c:valAx>
        <c:axId val="340555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givers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4896"/>
        <c:crosses val="autoZero"/>
        <c:crossBetween val="between"/>
      </c:valAx>
      <c:spPr>
        <a:noFill/>
        <a:ln>
          <a:noFill/>
        </a:ln>
        <a:effectLst/>
      </c:spPr>
    </c:plotArea>
    <c:legend>
      <c:legendPos val="b"/>
      <c:layout>
        <c:manualLayout>
          <c:xMode val="edge"/>
          <c:yMode val="edge"/>
          <c:x val="0.35786277777777775"/>
          <c:y val="0.87358740740740737"/>
          <c:w val="0.28897814814814815"/>
          <c:h val="7.9375555555555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GB" sz="1400" b="1" i="0" baseline="0">
                <a:effectLst/>
              </a:rPr>
              <a:t>Number of givers by method</a:t>
            </a:r>
            <a:endParaRPr lang="en-GB" sz="1400">
              <a:effectLst/>
            </a:endParaRPr>
          </a:p>
        </c:rich>
      </c:tx>
      <c:overlay val="0"/>
      <c:spPr>
        <a:noFill/>
        <a:ln>
          <a:noFill/>
        </a:ln>
        <a:effectLst/>
      </c:spPr>
    </c:title>
    <c:autoTitleDeleted val="0"/>
    <c:plotArea>
      <c:layout/>
      <c:barChart>
        <c:barDir val="col"/>
        <c:grouping val="stacked"/>
        <c:varyColors val="1"/>
        <c:ser>
          <c:idx val="0"/>
          <c:order val="0"/>
          <c:tx>
            <c:strRef>
              <c:f>Calculations!$H$2:$J$2</c:f>
              <c:strCache>
                <c:ptCount val="3"/>
                <c:pt idx="0">
                  <c:v>Gift Aid</c:v>
                </c:pt>
              </c:strCache>
            </c:strRef>
          </c:tx>
          <c:spPr>
            <a:solidFill>
              <a:srgbClr val="BFF6C3"/>
            </a:solidFill>
            <a:ln>
              <a:solidFill>
                <a:schemeClr val="accent2">
                  <a:lumMod val="50000"/>
                </a:schemeClr>
              </a:solidFill>
            </a:ln>
            <a:effectLst/>
          </c:spPr>
          <c:invertIfNegative val="0"/>
          <c:cat>
            <c:strRef>
              <c:f>'2b Giving history'!$I$6:$I$8</c:f>
              <c:strCache>
                <c:ptCount val="3"/>
                <c:pt idx="0">
                  <c:v>PGS</c:v>
                </c:pt>
                <c:pt idx="1">
                  <c:v>SO</c:v>
                </c:pt>
                <c:pt idx="2">
                  <c:v>Envelope</c:v>
                </c:pt>
              </c:strCache>
            </c:strRef>
          </c:cat>
          <c:val>
            <c:numRef>
              <c:f>(Calculations!$Q$33,Calculations!$U$33,Calculations!$Y$33)</c:f>
              <c:numCache>
                <c:formatCode>0</c:formatCode>
                <c:ptCount val="3"/>
                <c:pt idx="0">
                  <c:v>0</c:v>
                </c:pt>
                <c:pt idx="1">
                  <c:v>0</c:v>
                </c:pt>
                <c:pt idx="2">
                  <c:v>0</c:v>
                </c:pt>
              </c:numCache>
            </c:numRef>
          </c:val>
          <c:extLst>
            <c:ext xmlns:c16="http://schemas.microsoft.com/office/drawing/2014/chart" uri="{C3380CC4-5D6E-409C-BE32-E72D297353CC}">
              <c16:uniqueId val="{00000000-0E03-4AC1-BC3C-D2F77E362290}"/>
            </c:ext>
          </c:extLst>
        </c:ser>
        <c:ser>
          <c:idx val="1"/>
          <c:order val="1"/>
          <c:tx>
            <c:strRef>
              <c:f>Calculations!$L$2:$N$2</c:f>
              <c:strCache>
                <c:ptCount val="3"/>
                <c:pt idx="0">
                  <c:v>No Gift Aid</c:v>
                </c:pt>
              </c:strCache>
            </c:strRef>
          </c:tx>
          <c:spPr>
            <a:solidFill>
              <a:srgbClr val="FFF7D1"/>
            </a:solidFill>
            <a:ln>
              <a:solidFill>
                <a:schemeClr val="bg2">
                  <a:lumMod val="25000"/>
                </a:schemeClr>
              </a:solidFill>
            </a:ln>
            <a:effectLst/>
          </c:spPr>
          <c:invertIfNegative val="0"/>
          <c:cat>
            <c:strRef>
              <c:f>'2b Giving history'!$I$6:$I$8</c:f>
              <c:strCache>
                <c:ptCount val="3"/>
                <c:pt idx="0">
                  <c:v>PGS</c:v>
                </c:pt>
                <c:pt idx="1">
                  <c:v>SO</c:v>
                </c:pt>
                <c:pt idx="2">
                  <c:v>Envelope</c:v>
                </c:pt>
              </c:strCache>
            </c:strRef>
          </c:cat>
          <c:val>
            <c:numRef>
              <c:f>(Calculations!$Q$42,Calculations!$U$42,Calculations!$Y$42)</c:f>
              <c:numCache>
                <c:formatCode>0</c:formatCode>
                <c:ptCount val="3"/>
                <c:pt idx="0">
                  <c:v>0</c:v>
                </c:pt>
                <c:pt idx="1">
                  <c:v>0</c:v>
                </c:pt>
                <c:pt idx="2">
                  <c:v>0</c:v>
                </c:pt>
              </c:numCache>
            </c:numRef>
          </c:val>
          <c:extLst>
            <c:ext xmlns:c16="http://schemas.microsoft.com/office/drawing/2014/chart" uri="{C3380CC4-5D6E-409C-BE32-E72D297353CC}">
              <c16:uniqueId val="{00000001-0E03-4AC1-BC3C-D2F77E362290}"/>
            </c:ext>
          </c:extLst>
        </c:ser>
        <c:dLbls>
          <c:showLegendKey val="0"/>
          <c:showVal val="0"/>
          <c:showCatName val="0"/>
          <c:showSerName val="0"/>
          <c:showPercent val="0"/>
          <c:showBubbleSize val="0"/>
        </c:dLbls>
        <c:gapWidth val="40"/>
        <c:overlap val="100"/>
        <c:axId val="67227648"/>
        <c:axId val="67229184"/>
      </c:barChart>
      <c:catAx>
        <c:axId val="67227648"/>
        <c:scaling>
          <c:orientation val="minMax"/>
        </c:scaling>
        <c:delete val="0"/>
        <c:axPos val="b"/>
        <c:numFmt formatCode="General" sourceLinked="0"/>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9184"/>
        <c:crosses val="autoZero"/>
        <c:auto val="1"/>
        <c:lblAlgn val="ctr"/>
        <c:lblOffset val="100"/>
        <c:noMultiLvlLbl val="0"/>
      </c:catAx>
      <c:valAx>
        <c:axId val="67229184"/>
        <c:scaling>
          <c:orientation val="minMax"/>
        </c:scaling>
        <c:delete val="0"/>
        <c:axPos val="l"/>
        <c:majorGridlines>
          <c:spPr>
            <a:ln w="12700" cap="flat" cmpd="sng" algn="ctr">
              <a:solidFill>
                <a:schemeClr val="tx1">
                  <a:tint val="75000"/>
                </a:schemeClr>
              </a:solidFill>
              <a:prstDash val="solid"/>
              <a:round/>
            </a:ln>
            <a:effectLst/>
          </c:spPr>
        </c:majorGridlines>
        <c:numFmt formatCode="0" sourceLinked="1"/>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7648"/>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GB"/>
              <a:t>Proportion of giving by method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tx>
            <c:strRef>
              <c:f>Calculations!$F$3</c:f>
              <c:strCache>
                <c:ptCount val="1"/>
                <c:pt idx="0">
                  <c:v>% Annual total</c:v>
                </c:pt>
              </c:strCache>
            </c:strRef>
          </c:tx>
          <c:spPr>
            <a:solidFill>
              <a:srgbClr val="99CCFF"/>
            </a:solidFill>
            <a:ln>
              <a:solidFill>
                <a:schemeClr val="accent6">
                  <a:lumMod val="50000"/>
                </a:schemeClr>
              </a:solidFill>
            </a:ln>
          </c:spPr>
          <c:dPt>
            <c:idx val="0"/>
            <c:bubble3D val="0"/>
            <c:spPr>
              <a:solidFill>
                <a:srgbClr val="99CCFF"/>
              </a:solidFill>
              <a:ln>
                <a:solidFill>
                  <a:schemeClr val="accent6">
                    <a:lumMod val="50000"/>
                  </a:schemeClr>
                </a:solidFill>
              </a:ln>
              <a:effectLst/>
            </c:spPr>
            <c:extLst>
              <c:ext xmlns:c16="http://schemas.microsoft.com/office/drawing/2014/chart" uri="{C3380CC4-5D6E-409C-BE32-E72D297353CC}">
                <c16:uniqueId val="{00000001-AB7E-4C3B-920B-54DF042E5EE2}"/>
              </c:ext>
            </c:extLst>
          </c:dPt>
          <c:dPt>
            <c:idx val="1"/>
            <c:bubble3D val="0"/>
            <c:spPr>
              <a:solidFill>
                <a:srgbClr val="99FFCC"/>
              </a:solidFill>
              <a:ln>
                <a:solidFill>
                  <a:schemeClr val="accent6">
                    <a:lumMod val="50000"/>
                  </a:schemeClr>
                </a:solidFill>
              </a:ln>
              <a:effectLst/>
            </c:spPr>
            <c:extLst>
              <c:ext xmlns:c16="http://schemas.microsoft.com/office/drawing/2014/chart" uri="{C3380CC4-5D6E-409C-BE32-E72D297353CC}">
                <c16:uniqueId val="{00000003-AB7E-4C3B-920B-54DF042E5EE2}"/>
              </c:ext>
            </c:extLst>
          </c:dPt>
          <c:dPt>
            <c:idx val="2"/>
            <c:bubble3D val="0"/>
            <c:spPr>
              <a:solidFill>
                <a:srgbClr val="FFD09B"/>
              </a:solidFill>
              <a:ln>
                <a:solidFill>
                  <a:schemeClr val="accent6">
                    <a:lumMod val="50000"/>
                  </a:schemeClr>
                </a:solidFill>
              </a:ln>
              <a:effectLst/>
            </c:spPr>
            <c:extLst>
              <c:ext xmlns:c16="http://schemas.microsoft.com/office/drawing/2014/chart" uri="{C3380CC4-5D6E-409C-BE32-E72D297353CC}">
                <c16:uniqueId val="{00000005-AB7E-4C3B-920B-54DF042E5EE2}"/>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12700" cap="flat" cmpd="sng" algn="ctr">
                  <a:solidFill>
                    <a:schemeClr val="tx1"/>
                  </a:solidFill>
                  <a:prstDash val="solid"/>
                  <a:round/>
                </a:ln>
                <a:effectLst/>
              </c:spPr>
            </c:leaderLines>
            <c:extLst>
              <c:ext xmlns:c15="http://schemas.microsoft.com/office/drawing/2012/chart" uri="{CE6537A1-D6FC-4f65-9D91-7224C49458BB}"/>
            </c:extLst>
          </c:dLbls>
          <c:cat>
            <c:strRef>
              <c:f>'2b Giving history'!$I$6:$I$8</c:f>
              <c:strCache>
                <c:ptCount val="3"/>
                <c:pt idx="0">
                  <c:v>PGS</c:v>
                </c:pt>
                <c:pt idx="1">
                  <c:v>SO</c:v>
                </c:pt>
                <c:pt idx="2">
                  <c:v>Envelope</c:v>
                </c:pt>
              </c:strCache>
            </c:strRef>
          </c:cat>
          <c:val>
            <c:numRef>
              <c:f>(Calculations!$S$14,Calculations!$W$14,Calculations!$AA$14)</c:f>
              <c:numCache>
                <c:formatCode>0%</c:formatCode>
                <c:ptCount val="3"/>
                <c:pt idx="0">
                  <c:v>0</c:v>
                </c:pt>
                <c:pt idx="1">
                  <c:v>0</c:v>
                </c:pt>
                <c:pt idx="2">
                  <c:v>0</c:v>
                </c:pt>
              </c:numCache>
            </c:numRef>
          </c:val>
          <c:extLst>
            <c:ext xmlns:c16="http://schemas.microsoft.com/office/drawing/2014/chart" uri="{C3380CC4-5D6E-409C-BE32-E72D297353CC}">
              <c16:uniqueId val="{00000006-AB7E-4C3B-920B-54DF042E5EE2}"/>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519230769230782E-2"/>
          <c:y val="0.18727464023893564"/>
          <c:w val="0.84294871794871806"/>
          <c:h val="0.60459770114942535"/>
        </c:manualLayout>
      </c:layout>
      <c:pieChart>
        <c:varyColors val="1"/>
        <c:ser>
          <c:idx val="0"/>
          <c:order val="0"/>
          <c:tx>
            <c:v>Planned Expenditure</c:v>
          </c:tx>
          <c:spPr>
            <a:solidFill>
              <a:schemeClr val="accent1">
                <a:lumMod val="50000"/>
              </a:schemeClr>
            </a:solidFill>
          </c:spPr>
          <c:dPt>
            <c:idx val="0"/>
            <c:bubble3D val="0"/>
            <c:spPr>
              <a:solidFill>
                <a:srgbClr val="660066"/>
              </a:solidFill>
              <a:ln w="19050">
                <a:solidFill>
                  <a:schemeClr val="lt1"/>
                </a:solidFill>
              </a:ln>
              <a:effectLst/>
            </c:spPr>
            <c:extLst>
              <c:ext xmlns:c16="http://schemas.microsoft.com/office/drawing/2014/chart" uri="{C3380CC4-5D6E-409C-BE32-E72D297353CC}">
                <c16:uniqueId val="{00000001-0162-461A-A749-C38561250931}"/>
              </c:ext>
            </c:extLst>
          </c:dPt>
          <c:dPt>
            <c:idx val="1"/>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3-0162-461A-A749-C38561250931}"/>
              </c:ext>
            </c:extLst>
          </c:dPt>
          <c:dPt>
            <c:idx val="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5-0162-461A-A749-C38561250931}"/>
              </c:ext>
            </c:extLst>
          </c:dPt>
          <c:dPt>
            <c:idx val="3"/>
            <c:bubble3D val="0"/>
            <c:spPr>
              <a:solidFill>
                <a:srgbClr val="501E82"/>
              </a:solidFill>
              <a:ln w="19050">
                <a:solidFill>
                  <a:schemeClr val="lt1"/>
                </a:solidFill>
              </a:ln>
              <a:effectLst/>
            </c:spPr>
            <c:extLst>
              <c:ext xmlns:c16="http://schemas.microsoft.com/office/drawing/2014/chart" uri="{C3380CC4-5D6E-409C-BE32-E72D297353CC}">
                <c16:uniqueId val="{00000007-0162-461A-A749-C38561250931}"/>
              </c:ext>
            </c:extLst>
          </c:dPt>
          <c:dLbls>
            <c:dLbl>
              <c:idx val="0"/>
              <c:tx>
                <c:rich>
                  <a:bodyPr/>
                  <a:lstStyle/>
                  <a:p>
                    <a:fld id="{16DD6A10-14D8-4714-85A4-FBAF99E510CF}"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162-461A-A749-C38561250931}"/>
                </c:ext>
              </c:extLst>
            </c:dLbl>
            <c:dLbl>
              <c:idx val="3"/>
              <c:tx>
                <c:rich>
                  <a:bodyPr/>
                  <a:lstStyle/>
                  <a:p>
                    <a:fld id="{BB0F50F1-98EC-4CD0-88A9-72A8FD98F97C}"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0162-461A-A749-C38561250931}"/>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Calculations!$C$51:$C$54</c:f>
              <c:strCache>
                <c:ptCount val="4"/>
                <c:pt idx="0">
                  <c:v>Resource</c:v>
                </c:pt>
                <c:pt idx="1">
                  <c:v>Sustain</c:v>
                </c:pt>
                <c:pt idx="2">
                  <c:v>Maintain</c:v>
                </c:pt>
                <c:pt idx="3">
                  <c:v>Enable</c:v>
                </c:pt>
              </c:strCache>
            </c:strRef>
          </c:cat>
          <c:val>
            <c:numRef>
              <c:f>Calculations!$B$51:$B$54</c:f>
              <c:numCache>
                <c:formatCode>"£"#,##0</c:formatCode>
                <c:ptCount val="4"/>
                <c:pt idx="0">
                  <c:v>0</c:v>
                </c:pt>
                <c:pt idx="1">
                  <c:v>0</c:v>
                </c:pt>
                <c:pt idx="2">
                  <c:v>0</c:v>
                </c:pt>
                <c:pt idx="3">
                  <c:v>0</c:v>
                </c:pt>
              </c:numCache>
            </c:numRef>
          </c:val>
          <c:extLst>
            <c:ext xmlns:c16="http://schemas.microsoft.com/office/drawing/2014/chart" uri="{C3380CC4-5D6E-409C-BE32-E72D297353CC}">
              <c16:uniqueId val="{00000008-0162-461A-A749-C38561250931}"/>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Planned Income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112479741685177E-2"/>
          <c:y val="0.15966348278630121"/>
          <c:w val="0.83958141595936875"/>
          <c:h val="0.61093252518692898"/>
        </c:manualLayout>
      </c:layout>
      <c:pieChart>
        <c:varyColors val="1"/>
        <c:ser>
          <c:idx val="0"/>
          <c:order val="0"/>
          <c:tx>
            <c:v>Planned income</c:v>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B75A-4B66-B7DC-7553DD56A4F5}"/>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B75A-4B66-B7DC-7553DD56A4F5}"/>
              </c:ext>
            </c:extLst>
          </c:dPt>
          <c:dPt>
            <c:idx val="2"/>
            <c:bubble3D val="0"/>
            <c:spPr>
              <a:solidFill>
                <a:srgbClr val="66FFCC"/>
              </a:solidFill>
              <a:ln w="19050">
                <a:solidFill>
                  <a:schemeClr val="lt1"/>
                </a:solidFill>
              </a:ln>
              <a:effectLst/>
            </c:spPr>
            <c:extLst>
              <c:ext xmlns:c16="http://schemas.microsoft.com/office/drawing/2014/chart" uri="{C3380CC4-5D6E-409C-BE32-E72D297353CC}">
                <c16:uniqueId val="{00000005-B75A-4B66-B7DC-7553DD56A4F5}"/>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B75A-4B66-B7DC-7553DD56A4F5}"/>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Calculations!$A$45:$A$48</c:f>
              <c:strCache>
                <c:ptCount val="4"/>
                <c:pt idx="0">
                  <c:v>Planned giving</c:v>
                </c:pt>
                <c:pt idx="1">
                  <c:v>Other income</c:v>
                </c:pt>
                <c:pt idx="2">
                  <c:v>Trading income</c:v>
                </c:pt>
                <c:pt idx="3">
                  <c:v>One-off income</c:v>
                </c:pt>
              </c:strCache>
            </c:strRef>
          </c:cat>
          <c:val>
            <c:numRef>
              <c:f>Calculations!$B$45:$B$48</c:f>
              <c:numCache>
                <c:formatCode>"£"#,##0</c:formatCode>
                <c:ptCount val="4"/>
                <c:pt idx="0">
                  <c:v>0</c:v>
                </c:pt>
                <c:pt idx="1">
                  <c:v>0</c:v>
                </c:pt>
                <c:pt idx="2">
                  <c:v>0</c:v>
                </c:pt>
                <c:pt idx="3">
                  <c:v>0</c:v>
                </c:pt>
              </c:numCache>
            </c:numRef>
          </c:val>
          <c:extLst>
            <c:ext xmlns:c16="http://schemas.microsoft.com/office/drawing/2014/chart" uri="{C3380CC4-5D6E-409C-BE32-E72D297353CC}">
              <c16:uniqueId val="{00000008-B75A-4B66-B7DC-7553DD56A4F5}"/>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Unrestricted</a:t>
            </a:r>
            <a:r>
              <a:rPr lang="en-GB"/>
              <a:t> Surplus/Deficit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'4 Print report'!$B$11:$C$11</c:f>
              <c:strCache>
                <c:ptCount val="2"/>
                <c:pt idx="0">
                  <c:v>Surplus/Deficit</c:v>
                </c:pt>
              </c:strCache>
            </c:strRef>
          </c:tx>
          <c:spPr>
            <a:solidFill>
              <a:srgbClr val="FFD09B"/>
            </a:solidFill>
            <a:ln w="12700">
              <a:solidFill>
                <a:srgbClr val="FFC000"/>
              </a:solidFill>
            </a:ln>
            <a:effectLst/>
          </c:spPr>
          <c:invertIfNegative val="0"/>
          <c:val>
            <c:numRef>
              <c:f>'4 Print report'!$D$11:$G$11</c:f>
              <c:numCache>
                <c:formatCode>"£"#,##0;[Red]\-"£"#,##0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2053-4366-8DCA-1D2D7C59614F}"/>
            </c:ext>
          </c:extLst>
        </c:ser>
        <c:dLbls>
          <c:showLegendKey val="0"/>
          <c:showVal val="0"/>
          <c:showCatName val="0"/>
          <c:showSerName val="0"/>
          <c:showPercent val="0"/>
          <c:showBubbleSize val="0"/>
        </c:dLbls>
        <c:gapWidth val="200"/>
        <c:axId val="189051600"/>
        <c:axId val="189054000"/>
      </c:barChart>
      <c:catAx>
        <c:axId val="189051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4000"/>
        <c:crosses val="autoZero"/>
        <c:auto val="1"/>
        <c:lblAlgn val="ctr"/>
        <c:lblOffset val="100"/>
        <c:noMultiLvlLbl val="0"/>
      </c:catAx>
      <c:valAx>
        <c:axId val="1890540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5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Cumulative Giving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4">
                  <a:lumMod val="50000"/>
                </a:schemeClr>
              </a:solidFill>
              <a:ln w="9525">
                <a:solidFill>
                  <a:schemeClr val="accent4">
                    <a:lumMod val="25000"/>
                  </a:schemeClr>
                </a:solidFill>
              </a:ln>
              <a:effectLst/>
            </c:spPr>
          </c:marker>
          <c:dLbls>
            <c:delete val="1"/>
          </c:dLbls>
          <c:xVal>
            <c:numRef>
              <c:f>Calculations!$B$20:$B$40</c:f>
              <c:numCache>
                <c:formatCode>0%</c:formatCode>
                <c:ptCount val="2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Calculations!$F$20:$F$40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0-C486-4F94-B451-6C4DC102CC19}"/>
            </c:ext>
          </c:extLst>
        </c:ser>
        <c:dLbls>
          <c:dLblPos val="t"/>
          <c:showLegendKey val="0"/>
          <c:showVal val="1"/>
          <c:showCatName val="0"/>
          <c:showSerName val="0"/>
          <c:showPercent val="0"/>
          <c:showBubbleSize val="0"/>
        </c:dLbls>
        <c:axId val="1083630304"/>
        <c:axId val="1083623104"/>
      </c:scatterChart>
      <c:valAx>
        <c:axId val="1083630304"/>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givers, with largest gifts to</a:t>
                </a:r>
                <a:r>
                  <a:rPr lang="en-GB" baseline="0"/>
                  <a:t> the left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23104"/>
        <c:crosses val="autoZero"/>
        <c:crossBetween val="midCat"/>
      </c:valAx>
      <c:valAx>
        <c:axId val="108362310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amount given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30304"/>
        <c:crosses val="autoZero"/>
        <c:crossBetween val="midCat"/>
      </c:valAx>
      <c:spPr>
        <a:noFill/>
        <a:ln>
          <a:noFill/>
        </a:ln>
        <a:effectLst/>
      </c:spPr>
    </c:plotArea>
    <c:plotVisOnly val="1"/>
    <c:dispBlanksAs val="gap"/>
    <c:showDLblsOverMax val="0"/>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 Income &amp; Expenditure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Calculations!$C$56:$C$58</c:f>
              <c:strCache>
                <c:ptCount val="3"/>
                <c:pt idx="0">
                  <c:v>Income</c:v>
                </c:pt>
                <c:pt idx="1">
                  <c:v>Unrestricted</c:v>
                </c:pt>
              </c:strCache>
            </c:strRef>
          </c:tx>
          <c:spPr>
            <a:solidFill>
              <a:schemeClr val="accent6">
                <a:lumMod val="75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Calculations!$C$59:$C$70</c:f>
              <c:numCache>
                <c:formatCode>"£"#,##0</c:formatCode>
                <c:ptCount val="12"/>
                <c:pt idx="0">
                  <c:v>0</c:v>
                </c:pt>
                <c:pt idx="3">
                  <c:v>0</c:v>
                </c:pt>
                <c:pt idx="6">
                  <c:v>0</c:v>
                </c:pt>
                <c:pt idx="9">
                  <c:v>0</c:v>
                </c:pt>
              </c:numCache>
            </c:numRef>
          </c:val>
          <c:extLst>
            <c:ext xmlns:c16="http://schemas.microsoft.com/office/drawing/2014/chart" uri="{C3380CC4-5D6E-409C-BE32-E72D297353CC}">
              <c16:uniqueId val="{00000000-E6F6-4B27-B1F1-C0BF633B03FF}"/>
            </c:ext>
          </c:extLst>
        </c:ser>
        <c:ser>
          <c:idx val="1"/>
          <c:order val="1"/>
          <c:tx>
            <c:strRef>
              <c:f>Calculations!$D$56:$D$58</c:f>
              <c:strCache>
                <c:ptCount val="3"/>
                <c:pt idx="0">
                  <c:v>Income</c:v>
                </c:pt>
                <c:pt idx="1">
                  <c:v>Restricted</c:v>
                </c:pt>
              </c:strCache>
            </c:strRef>
          </c:tx>
          <c:spPr>
            <a:solidFill>
              <a:schemeClr val="accent6"/>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Calculations!$D$59:$D$70</c:f>
              <c:numCache>
                <c:formatCode>"£"#,##0</c:formatCode>
                <c:ptCount val="12"/>
                <c:pt idx="0">
                  <c:v>0</c:v>
                </c:pt>
                <c:pt idx="3">
                  <c:v>0</c:v>
                </c:pt>
                <c:pt idx="6">
                  <c:v>0</c:v>
                </c:pt>
                <c:pt idx="9">
                  <c:v>0</c:v>
                </c:pt>
              </c:numCache>
            </c:numRef>
          </c:val>
          <c:extLst>
            <c:ext xmlns:c16="http://schemas.microsoft.com/office/drawing/2014/chart" uri="{C3380CC4-5D6E-409C-BE32-E72D297353CC}">
              <c16:uniqueId val="{00000001-E6F6-4B27-B1F1-C0BF633B03FF}"/>
            </c:ext>
          </c:extLst>
        </c:ser>
        <c:ser>
          <c:idx val="2"/>
          <c:order val="2"/>
          <c:tx>
            <c:strRef>
              <c:f>Calculations!$E$56:$E$58</c:f>
              <c:strCache>
                <c:ptCount val="3"/>
                <c:pt idx="0">
                  <c:v>Expenditure</c:v>
                </c:pt>
                <c:pt idx="1">
                  <c:v>Unrestricted</c:v>
                </c:pt>
              </c:strCache>
            </c:strRef>
          </c:tx>
          <c:spPr>
            <a:solidFill>
              <a:schemeClr val="tx2">
                <a:lumMod val="50000"/>
                <a:lumOff val="50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Calculations!$E$59:$E$70</c:f>
              <c:numCache>
                <c:formatCode>"£"#,##0</c:formatCode>
                <c:ptCount val="12"/>
                <c:pt idx="1">
                  <c:v>0</c:v>
                </c:pt>
                <c:pt idx="4">
                  <c:v>0</c:v>
                </c:pt>
                <c:pt idx="7">
                  <c:v>0</c:v>
                </c:pt>
                <c:pt idx="10">
                  <c:v>0</c:v>
                </c:pt>
              </c:numCache>
            </c:numRef>
          </c:val>
          <c:extLst>
            <c:ext xmlns:c16="http://schemas.microsoft.com/office/drawing/2014/chart" uri="{C3380CC4-5D6E-409C-BE32-E72D297353CC}">
              <c16:uniqueId val="{00000002-E6F6-4B27-B1F1-C0BF633B03FF}"/>
            </c:ext>
          </c:extLst>
        </c:ser>
        <c:ser>
          <c:idx val="3"/>
          <c:order val="3"/>
          <c:tx>
            <c:strRef>
              <c:f>Calculations!$F$56:$F$58</c:f>
              <c:strCache>
                <c:ptCount val="3"/>
                <c:pt idx="0">
                  <c:v>Expenditure</c:v>
                </c:pt>
                <c:pt idx="1">
                  <c:v>Restricted</c:v>
                </c:pt>
              </c:strCache>
            </c:strRef>
          </c:tx>
          <c:spPr>
            <a:solidFill>
              <a:schemeClr val="tx2">
                <a:lumMod val="25000"/>
                <a:lumOff val="75000"/>
              </a:schemeClr>
            </a:solidFill>
            <a:ln>
              <a:noFill/>
            </a:ln>
            <a:effectLst/>
          </c:spPr>
          <c:invertIfNegative val="0"/>
          <c:cat>
            <c:numRef>
              <c:f>Calculations!$B$59:$B$70</c:f>
              <c:numCache>
                <c:formatCode>General</c:formatCode>
                <c:ptCount val="12"/>
                <c:pt idx="0">
                  <c:v>0</c:v>
                </c:pt>
                <c:pt idx="3">
                  <c:v>0</c:v>
                </c:pt>
                <c:pt idx="6">
                  <c:v>0</c:v>
                </c:pt>
                <c:pt idx="9">
                  <c:v>0</c:v>
                </c:pt>
              </c:numCache>
            </c:numRef>
          </c:cat>
          <c:val>
            <c:numRef>
              <c:f>Calculations!$F$59:$F$70</c:f>
              <c:numCache>
                <c:formatCode>"£"#,##0</c:formatCode>
                <c:ptCount val="12"/>
                <c:pt idx="1">
                  <c:v>0</c:v>
                </c:pt>
                <c:pt idx="4">
                  <c:v>0</c:v>
                </c:pt>
                <c:pt idx="7">
                  <c:v>0</c:v>
                </c:pt>
                <c:pt idx="10">
                  <c:v>0</c:v>
                </c:pt>
              </c:numCache>
            </c:numRef>
          </c:val>
          <c:extLst>
            <c:ext xmlns:c16="http://schemas.microsoft.com/office/drawing/2014/chart" uri="{C3380CC4-5D6E-409C-BE32-E72D297353CC}">
              <c16:uniqueId val="{00000003-E6F6-4B27-B1F1-C0BF633B03FF}"/>
            </c:ext>
          </c:extLst>
        </c:ser>
        <c:dLbls>
          <c:showLegendKey val="0"/>
          <c:showVal val="0"/>
          <c:showCatName val="0"/>
          <c:showSerName val="0"/>
          <c:showPercent val="0"/>
          <c:showBubbleSize val="0"/>
        </c:dLbls>
        <c:gapWidth val="20"/>
        <c:overlap val="100"/>
        <c:axId val="1984650848"/>
        <c:axId val="1984645568"/>
      </c:barChart>
      <c:catAx>
        <c:axId val="198465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645568"/>
        <c:crosses val="autoZero"/>
        <c:auto val="1"/>
        <c:lblAlgn val="ctr"/>
        <c:lblOffset val="100"/>
        <c:noMultiLvlLbl val="0"/>
      </c:catAx>
      <c:valAx>
        <c:axId val="19846455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650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r>
              <a:rPr lang="en-GB" sz="1400" b="0">
                <a:solidFill>
                  <a:sysClr val="windowText" lastClr="000000"/>
                </a:solidFill>
                <a:latin typeface="Aptos Narrow" panose="020B0004020202020204" pitchFamily="34" charset="0"/>
                <a:ea typeface="Calibri" panose="020F0502020204030204" pitchFamily="34" charset="0"/>
                <a:cs typeface="Calibri" panose="020F0502020204030204" pitchFamily="34" charset="0"/>
              </a:rPr>
              <a:t>Reserves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barChart>
        <c:barDir val="col"/>
        <c:grouping val="stacked"/>
        <c:varyColors val="0"/>
        <c:ser>
          <c:idx val="0"/>
          <c:order val="0"/>
          <c:tx>
            <c:strRef>
              <c:f>'4 Print report'!$B$20:$C$20</c:f>
              <c:strCache>
                <c:ptCount val="2"/>
                <c:pt idx="0">
                  <c:v>Reserves (cash assets)</c:v>
                </c:pt>
              </c:strCache>
            </c:strRef>
          </c:tx>
          <c:spPr>
            <a:solidFill>
              <a:schemeClr val="accent1"/>
            </a:solidFill>
            <a:ln w="12700">
              <a:solidFill>
                <a:srgbClr val="7030A0"/>
              </a:solidFill>
            </a:ln>
            <a:effectLst/>
          </c:spPr>
          <c:invertIfNegative val="0"/>
          <c:dLbls>
            <c:delete val="1"/>
          </c:dLbls>
          <c:val>
            <c:numRef>
              <c:f>'4 Print report'!$D$20:$G$20</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[0]!HistoryYears</c15:sqref>
                        </c15:formulaRef>
                      </c:ext>
                    </c:extLst>
                  </c:multiLvlStrRef>
                </c15:cat>
              </c15:filteredCategoryTitle>
            </c:ext>
            <c:ext xmlns:c16="http://schemas.microsoft.com/office/drawing/2014/chart" uri="{C3380CC4-5D6E-409C-BE32-E72D297353CC}">
              <c16:uniqueId val="{00000000-9A15-48B2-9403-4BA046DA83B4}"/>
            </c:ext>
          </c:extLst>
        </c:ser>
        <c:dLbls>
          <c:dLblPos val="ctr"/>
          <c:showLegendKey val="0"/>
          <c:showVal val="1"/>
          <c:showCatName val="0"/>
          <c:showSerName val="0"/>
          <c:showPercent val="0"/>
          <c:showBubbleSize val="0"/>
        </c:dLbls>
        <c:gapWidth val="150"/>
        <c:overlap val="100"/>
        <c:axId val="124135664"/>
        <c:axId val="128717904"/>
      </c:barChart>
      <c:catAx>
        <c:axId val="124135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717904"/>
        <c:crosses val="autoZero"/>
        <c:auto val="1"/>
        <c:lblAlgn val="ctr"/>
        <c:lblOffset val="100"/>
        <c:noMultiLvlLbl val="0"/>
      </c:catAx>
      <c:valAx>
        <c:axId val="1287179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13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Number of givers by amount given</a:t>
            </a:r>
            <a:r>
              <a:rPr lang="en-GB" baseline="0"/>
              <a:t> and tax status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tx>
            <c:strRef>
              <c:f>Calculations!$H$2:$J$2</c:f>
              <c:strCache>
                <c:ptCount val="1"/>
                <c:pt idx="0">
                  <c:v>Gift Aid</c:v>
                </c:pt>
              </c:strCache>
            </c:strRef>
          </c:tx>
          <c:spPr>
            <a:solidFill>
              <a:srgbClr val="BFF6C3"/>
            </a:solidFill>
            <a:ln>
              <a:solidFill>
                <a:schemeClr val="accent2">
                  <a:lumMod val="50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Calculations!$H$4:$H$13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CF1-484C-854A-BE72D1BE9B2E}"/>
            </c:ext>
          </c:extLst>
        </c:ser>
        <c:ser>
          <c:idx val="1"/>
          <c:order val="1"/>
          <c:tx>
            <c:strRef>
              <c:f>Calculations!$L$2:$N$2</c:f>
              <c:strCache>
                <c:ptCount val="1"/>
                <c:pt idx="0">
                  <c:v>No Gift Aid</c:v>
                </c:pt>
              </c:strCache>
            </c:strRef>
          </c:tx>
          <c:spPr>
            <a:solidFill>
              <a:srgbClr val="FFF7D1"/>
            </a:solidFill>
            <a:ln>
              <a:solidFill>
                <a:schemeClr val="bg2">
                  <a:lumMod val="25000"/>
                </a:schemeClr>
              </a:solidFill>
            </a:ln>
            <a:effectLst/>
          </c:spPr>
          <c:invertIfNegative val="0"/>
          <c:cat>
            <c:strRef>
              <c:f>Calculations!$A$4:$A$13</c:f>
              <c:strCache>
                <c:ptCount val="10"/>
                <c:pt idx="0">
                  <c:v>£0.00 - £2.49</c:v>
                </c:pt>
                <c:pt idx="1">
                  <c:v>£2.50 - £4.99</c:v>
                </c:pt>
                <c:pt idx="2">
                  <c:v>£5.00 - £7.49</c:v>
                </c:pt>
                <c:pt idx="3">
                  <c:v>£7.50 - £9.99</c:v>
                </c:pt>
                <c:pt idx="4">
                  <c:v>£10.00 - £14.99</c:v>
                </c:pt>
                <c:pt idx="5">
                  <c:v>£15.00 - £19.99</c:v>
                </c:pt>
                <c:pt idx="6">
                  <c:v>£20.00 - £27.49</c:v>
                </c:pt>
                <c:pt idx="7">
                  <c:v>£27.50 - £34.99</c:v>
                </c:pt>
                <c:pt idx="8">
                  <c:v>£35.00 - £44.99</c:v>
                </c:pt>
                <c:pt idx="9">
                  <c:v>£45.00+</c:v>
                </c:pt>
              </c:strCache>
            </c:strRef>
          </c:cat>
          <c:val>
            <c:numRef>
              <c:f>Calculations!$L$4:$L$13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F1-484C-854A-BE72D1BE9B2E}"/>
            </c:ext>
          </c:extLst>
        </c:ser>
        <c:dLbls>
          <c:showLegendKey val="0"/>
          <c:showVal val="0"/>
          <c:showCatName val="0"/>
          <c:showSerName val="0"/>
          <c:showPercent val="0"/>
          <c:showBubbleSize val="0"/>
        </c:dLbls>
        <c:gapWidth val="150"/>
        <c:overlap val="100"/>
        <c:axId val="340554896"/>
        <c:axId val="340555856"/>
      </c:barChart>
      <c:catAx>
        <c:axId val="3405548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Weekly gift size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5856"/>
        <c:crosses val="autoZero"/>
        <c:auto val="1"/>
        <c:lblAlgn val="ctr"/>
        <c:lblOffset val="100"/>
        <c:noMultiLvlLbl val="0"/>
      </c:catAx>
      <c:valAx>
        <c:axId val="340555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givers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554896"/>
        <c:crosses val="autoZero"/>
        <c:crossBetween val="between"/>
      </c:valAx>
      <c:spPr>
        <a:noFill/>
        <a:ln>
          <a:noFill/>
        </a:ln>
        <a:effectLst/>
      </c:spPr>
    </c:plotArea>
    <c:legend>
      <c:legendPos val="b"/>
      <c:layout>
        <c:manualLayout>
          <c:xMode val="edge"/>
          <c:yMode val="edge"/>
          <c:x val="0.35786277777777775"/>
          <c:y val="0.87358740740740737"/>
          <c:w val="0.28897814814814815"/>
          <c:h val="7.9375555555555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Cumulative Giving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4">
                  <a:lumMod val="50000"/>
                </a:schemeClr>
              </a:solidFill>
              <a:ln w="9525">
                <a:solidFill>
                  <a:schemeClr val="accent4">
                    <a:lumMod val="25000"/>
                  </a:schemeClr>
                </a:solidFill>
              </a:ln>
              <a:effectLst/>
            </c:spPr>
          </c:marker>
          <c:dLbls>
            <c:delete val="1"/>
          </c:dLbls>
          <c:xVal>
            <c:numRef>
              <c:f>Calculations!$B$20:$B$40</c:f>
              <c:numCache>
                <c:formatCode>0%</c:formatCode>
                <c:ptCount val="2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Calculations!$F$20:$F$40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B-FBEE-474A-B77A-D10F7DB039DC}"/>
            </c:ext>
          </c:extLst>
        </c:ser>
        <c:dLbls>
          <c:dLblPos val="t"/>
          <c:showLegendKey val="0"/>
          <c:showVal val="1"/>
          <c:showCatName val="0"/>
          <c:showSerName val="0"/>
          <c:showPercent val="0"/>
          <c:showBubbleSize val="0"/>
        </c:dLbls>
        <c:axId val="1083630304"/>
        <c:axId val="1083623104"/>
      </c:scatterChart>
      <c:valAx>
        <c:axId val="1083630304"/>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givers, with largest gifts to</a:t>
                </a:r>
                <a:r>
                  <a:rPr lang="en-GB" baseline="0"/>
                  <a:t> the left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23104"/>
        <c:crosses val="autoZero"/>
        <c:crossBetween val="midCat"/>
      </c:valAx>
      <c:valAx>
        <c:axId val="108362310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of  amount given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630304"/>
        <c:crosses val="autoZero"/>
        <c:crossBetween val="midCat"/>
      </c:valAx>
      <c:spPr>
        <a:noFill/>
        <a:ln>
          <a:noFill/>
        </a:ln>
        <a:effectLst/>
      </c:spPr>
    </c:plotArea>
    <c:plotVisOnly val="1"/>
    <c:dispBlanksAs val="gap"/>
    <c:showDLblsOverMax val="0"/>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800" b="1" i="0" u="none" strike="noStrike" kern="1200" baseline="0">
                <a:solidFill>
                  <a:schemeClr val="tx1"/>
                </a:solidFill>
                <a:latin typeface="+mn-lt"/>
                <a:ea typeface="+mn-ea"/>
                <a:cs typeface="+mn-cs"/>
              </a:defRPr>
            </a:pPr>
            <a:r>
              <a:rPr lang="en-GB" sz="1400" b="1" i="0" baseline="0">
                <a:effectLst/>
              </a:rPr>
              <a:t>Number of givers by method</a:t>
            </a:r>
            <a:endParaRPr lang="en-GB" sz="1400">
              <a:effectLst/>
            </a:endParaRPr>
          </a:p>
        </c:rich>
      </c:tx>
      <c:overlay val="0"/>
      <c:spPr>
        <a:noFill/>
        <a:ln>
          <a:noFill/>
        </a:ln>
        <a:effectLst/>
      </c:spPr>
    </c:title>
    <c:autoTitleDeleted val="0"/>
    <c:plotArea>
      <c:layout/>
      <c:barChart>
        <c:barDir val="col"/>
        <c:grouping val="stacked"/>
        <c:varyColors val="1"/>
        <c:ser>
          <c:idx val="0"/>
          <c:order val="0"/>
          <c:tx>
            <c:strRef>
              <c:f>Calculations!$H$2:$J$2</c:f>
              <c:strCache>
                <c:ptCount val="3"/>
                <c:pt idx="0">
                  <c:v>Gift Aid</c:v>
                </c:pt>
              </c:strCache>
            </c:strRef>
          </c:tx>
          <c:spPr>
            <a:solidFill>
              <a:srgbClr val="BFF6C3"/>
            </a:solidFill>
            <a:ln>
              <a:solidFill>
                <a:schemeClr val="accent2">
                  <a:lumMod val="50000"/>
                </a:schemeClr>
              </a:solidFill>
            </a:ln>
            <a:effectLst/>
          </c:spPr>
          <c:invertIfNegative val="0"/>
          <c:cat>
            <c:strRef>
              <c:f>'2b Giving history'!$I$6:$I$8</c:f>
              <c:strCache>
                <c:ptCount val="3"/>
                <c:pt idx="0">
                  <c:v>PGS</c:v>
                </c:pt>
                <c:pt idx="1">
                  <c:v>SO</c:v>
                </c:pt>
                <c:pt idx="2">
                  <c:v>Envelope</c:v>
                </c:pt>
              </c:strCache>
            </c:strRef>
          </c:cat>
          <c:val>
            <c:numRef>
              <c:f>(Calculations!$Q$33,Calculations!$U$33,Calculations!$Y$33)</c:f>
              <c:numCache>
                <c:formatCode>0</c:formatCode>
                <c:ptCount val="3"/>
                <c:pt idx="0">
                  <c:v>0</c:v>
                </c:pt>
                <c:pt idx="1">
                  <c:v>0</c:v>
                </c:pt>
                <c:pt idx="2">
                  <c:v>0</c:v>
                </c:pt>
              </c:numCache>
            </c:numRef>
          </c:val>
          <c:extLst>
            <c:ext xmlns:c16="http://schemas.microsoft.com/office/drawing/2014/chart" uri="{C3380CC4-5D6E-409C-BE32-E72D297353CC}">
              <c16:uniqueId val="{00000000-9AB8-4E73-8B7A-354ED28D3461}"/>
            </c:ext>
          </c:extLst>
        </c:ser>
        <c:ser>
          <c:idx val="1"/>
          <c:order val="1"/>
          <c:tx>
            <c:strRef>
              <c:f>Calculations!$L$2:$N$2</c:f>
              <c:strCache>
                <c:ptCount val="3"/>
                <c:pt idx="0">
                  <c:v>No Gift Aid</c:v>
                </c:pt>
              </c:strCache>
            </c:strRef>
          </c:tx>
          <c:spPr>
            <a:solidFill>
              <a:srgbClr val="FFF7D1"/>
            </a:solidFill>
            <a:ln>
              <a:solidFill>
                <a:schemeClr val="bg2">
                  <a:lumMod val="25000"/>
                </a:schemeClr>
              </a:solidFill>
            </a:ln>
            <a:effectLst/>
          </c:spPr>
          <c:invertIfNegative val="0"/>
          <c:cat>
            <c:strRef>
              <c:f>'2b Giving history'!$I$6:$I$8</c:f>
              <c:strCache>
                <c:ptCount val="3"/>
                <c:pt idx="0">
                  <c:v>PGS</c:v>
                </c:pt>
                <c:pt idx="1">
                  <c:v>SO</c:v>
                </c:pt>
                <c:pt idx="2">
                  <c:v>Envelope</c:v>
                </c:pt>
              </c:strCache>
            </c:strRef>
          </c:cat>
          <c:val>
            <c:numRef>
              <c:f>(Calculations!$Q$42,Calculations!$U$42,Calculations!$Y$42)</c:f>
              <c:numCache>
                <c:formatCode>0</c:formatCode>
                <c:ptCount val="3"/>
                <c:pt idx="0">
                  <c:v>0</c:v>
                </c:pt>
                <c:pt idx="1">
                  <c:v>0</c:v>
                </c:pt>
                <c:pt idx="2">
                  <c:v>0</c:v>
                </c:pt>
              </c:numCache>
            </c:numRef>
          </c:val>
          <c:extLst>
            <c:ext xmlns:c16="http://schemas.microsoft.com/office/drawing/2014/chart" uri="{C3380CC4-5D6E-409C-BE32-E72D297353CC}">
              <c16:uniqueId val="{00000001-9AB8-4E73-8B7A-354ED28D3461}"/>
            </c:ext>
          </c:extLst>
        </c:ser>
        <c:dLbls>
          <c:showLegendKey val="0"/>
          <c:showVal val="0"/>
          <c:showCatName val="0"/>
          <c:showSerName val="0"/>
          <c:showPercent val="0"/>
          <c:showBubbleSize val="0"/>
        </c:dLbls>
        <c:gapWidth val="40"/>
        <c:overlap val="100"/>
        <c:axId val="67227648"/>
        <c:axId val="67229184"/>
      </c:barChart>
      <c:catAx>
        <c:axId val="67227648"/>
        <c:scaling>
          <c:orientation val="minMax"/>
        </c:scaling>
        <c:delete val="0"/>
        <c:axPos val="b"/>
        <c:numFmt formatCode="General" sourceLinked="0"/>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9184"/>
        <c:crosses val="autoZero"/>
        <c:auto val="1"/>
        <c:lblAlgn val="ctr"/>
        <c:lblOffset val="100"/>
        <c:noMultiLvlLbl val="0"/>
      </c:catAx>
      <c:valAx>
        <c:axId val="67229184"/>
        <c:scaling>
          <c:orientation val="minMax"/>
        </c:scaling>
        <c:delete val="0"/>
        <c:axPos val="l"/>
        <c:majorGridlines>
          <c:spPr>
            <a:ln w="12700" cap="flat" cmpd="sng" algn="ctr">
              <a:solidFill>
                <a:schemeClr val="tx1">
                  <a:tint val="75000"/>
                </a:schemeClr>
              </a:solidFill>
              <a:prstDash val="solid"/>
              <a:round/>
            </a:ln>
            <a:effectLst/>
          </c:spPr>
        </c:majorGridlines>
        <c:numFmt formatCode="0" sourceLinked="1"/>
        <c:majorTickMark val="out"/>
        <c:minorTickMark val="none"/>
        <c:tickLblPos val="nextTo"/>
        <c:spPr>
          <a:noFill/>
          <a:ln w="12700" cap="flat" cmpd="sng" algn="ctr">
            <a:solidFill>
              <a:schemeClr val="tx1">
                <a:tint val="75000"/>
              </a:schemeClr>
            </a:solidFill>
            <a:prstDash val="solid"/>
            <a:round/>
          </a:ln>
          <a:effectLst/>
        </c:spPr>
        <c:txPr>
          <a:bodyPr rot="-60000000" spcFirstLastPara="1" vertOverflow="ellipsis" vert="horz" wrap="square" anchor="ctr" anchorCtr="1"/>
          <a:lstStyle/>
          <a:p>
            <a:pPr>
              <a:defRPr sz="1000" b="1" i="0" u="none" strike="noStrike" kern="1200" baseline="0">
                <a:solidFill>
                  <a:schemeClr val="tx1"/>
                </a:solidFill>
                <a:latin typeface="+mn-lt"/>
                <a:ea typeface="Verdana" panose="020B0604030504040204" pitchFamily="34" charset="0"/>
                <a:cs typeface="Verdana" panose="020B0604030504040204" pitchFamily="34" charset="0"/>
              </a:defRPr>
            </a:pPr>
            <a:endParaRPr lang="en-US"/>
          </a:p>
        </c:txPr>
        <c:crossAx val="67227648"/>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GB"/>
              <a:t>Proportion of giving by method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tx>
            <c:strRef>
              <c:f>Calculations!$F$3</c:f>
              <c:strCache>
                <c:ptCount val="1"/>
                <c:pt idx="0">
                  <c:v>% Annual total</c:v>
                </c:pt>
              </c:strCache>
            </c:strRef>
          </c:tx>
          <c:spPr>
            <a:solidFill>
              <a:srgbClr val="99CCFF"/>
            </a:solidFill>
            <a:ln>
              <a:solidFill>
                <a:schemeClr val="accent6">
                  <a:lumMod val="50000"/>
                </a:schemeClr>
              </a:solidFill>
            </a:ln>
          </c:spPr>
          <c:dPt>
            <c:idx val="0"/>
            <c:bubble3D val="0"/>
            <c:spPr>
              <a:solidFill>
                <a:srgbClr val="99CCFF"/>
              </a:solidFill>
              <a:ln>
                <a:solidFill>
                  <a:schemeClr val="accent6">
                    <a:lumMod val="50000"/>
                  </a:schemeClr>
                </a:solidFill>
              </a:ln>
              <a:effectLst/>
            </c:spPr>
            <c:extLst>
              <c:ext xmlns:c16="http://schemas.microsoft.com/office/drawing/2014/chart" uri="{C3380CC4-5D6E-409C-BE32-E72D297353CC}">
                <c16:uniqueId val="{00000001-AB62-41F9-A945-18B92C5BA256}"/>
              </c:ext>
            </c:extLst>
          </c:dPt>
          <c:dPt>
            <c:idx val="1"/>
            <c:bubble3D val="0"/>
            <c:spPr>
              <a:solidFill>
                <a:srgbClr val="99FFCC"/>
              </a:solidFill>
              <a:ln>
                <a:solidFill>
                  <a:schemeClr val="accent6">
                    <a:lumMod val="50000"/>
                  </a:schemeClr>
                </a:solidFill>
              </a:ln>
              <a:effectLst/>
            </c:spPr>
            <c:extLst>
              <c:ext xmlns:c16="http://schemas.microsoft.com/office/drawing/2014/chart" uri="{C3380CC4-5D6E-409C-BE32-E72D297353CC}">
                <c16:uniqueId val="{00000003-AB62-41F9-A945-18B92C5BA256}"/>
              </c:ext>
            </c:extLst>
          </c:dPt>
          <c:dPt>
            <c:idx val="2"/>
            <c:bubble3D val="0"/>
            <c:spPr>
              <a:solidFill>
                <a:srgbClr val="FFD09B"/>
              </a:solidFill>
              <a:ln>
                <a:solidFill>
                  <a:schemeClr val="accent6">
                    <a:lumMod val="50000"/>
                  </a:schemeClr>
                </a:solidFill>
              </a:ln>
              <a:effectLst/>
            </c:spPr>
            <c:extLst>
              <c:ext xmlns:c16="http://schemas.microsoft.com/office/drawing/2014/chart" uri="{C3380CC4-5D6E-409C-BE32-E72D297353CC}">
                <c16:uniqueId val="{00000005-AB62-41F9-A945-18B92C5BA256}"/>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12700" cap="flat" cmpd="sng" algn="ctr">
                  <a:solidFill>
                    <a:schemeClr val="tx1"/>
                  </a:solidFill>
                  <a:prstDash val="solid"/>
                  <a:round/>
                </a:ln>
                <a:effectLst/>
              </c:spPr>
            </c:leaderLines>
            <c:extLst>
              <c:ext xmlns:c15="http://schemas.microsoft.com/office/drawing/2012/chart" uri="{CE6537A1-D6FC-4f65-9D91-7224C49458BB}"/>
            </c:extLst>
          </c:dLbls>
          <c:cat>
            <c:strRef>
              <c:f>'2b Giving history'!$I$6:$I$8</c:f>
              <c:strCache>
                <c:ptCount val="3"/>
                <c:pt idx="0">
                  <c:v>PGS</c:v>
                </c:pt>
                <c:pt idx="1">
                  <c:v>SO</c:v>
                </c:pt>
                <c:pt idx="2">
                  <c:v>Envelope</c:v>
                </c:pt>
              </c:strCache>
            </c:strRef>
          </c:cat>
          <c:val>
            <c:numRef>
              <c:f>(Calculations!$S$14,Calculations!$W$14,Calculations!$AA$14)</c:f>
              <c:numCache>
                <c:formatCode>0%</c:formatCode>
                <c:ptCount val="3"/>
                <c:pt idx="0">
                  <c:v>0</c:v>
                </c:pt>
                <c:pt idx="1">
                  <c:v>0</c:v>
                </c:pt>
                <c:pt idx="2">
                  <c:v>0</c:v>
                </c:pt>
              </c:numCache>
            </c:numRef>
          </c:val>
          <c:extLst>
            <c:ext xmlns:c16="http://schemas.microsoft.com/office/drawing/2014/chart" uri="{C3380CC4-5D6E-409C-BE32-E72D297353CC}">
              <c16:uniqueId val="{00000006-AB62-41F9-A945-18B92C5BA256}"/>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12700" cap="flat" cmpd="sng" algn="ctr">
      <a:solidFill>
        <a:schemeClr val="tx1">
          <a:tint val="75000"/>
        </a:schemeClr>
      </a:solidFill>
      <a:prstDash val="solid"/>
      <a:round/>
    </a:ln>
    <a:effectLst/>
  </c:spPr>
  <c:txPr>
    <a:bodyPr/>
    <a:lstStyle/>
    <a:p>
      <a:pPr>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519230769230782E-2"/>
          <c:y val="0.18727464023893564"/>
          <c:w val="0.84294871794871806"/>
          <c:h val="0.60459770114942535"/>
        </c:manualLayout>
      </c:layout>
      <c:pieChart>
        <c:varyColors val="1"/>
        <c:ser>
          <c:idx val="0"/>
          <c:order val="0"/>
          <c:tx>
            <c:v>Planned Expenditure</c:v>
          </c:tx>
          <c:spPr>
            <a:solidFill>
              <a:schemeClr val="accent1">
                <a:lumMod val="50000"/>
              </a:schemeClr>
            </a:solidFill>
          </c:spPr>
          <c:dPt>
            <c:idx val="0"/>
            <c:bubble3D val="0"/>
            <c:spPr>
              <a:solidFill>
                <a:srgbClr val="660066"/>
              </a:solidFill>
              <a:ln w="19050">
                <a:solidFill>
                  <a:schemeClr val="lt1"/>
                </a:solidFill>
              </a:ln>
              <a:effectLst/>
            </c:spPr>
            <c:extLst>
              <c:ext xmlns:c16="http://schemas.microsoft.com/office/drawing/2014/chart" uri="{C3380CC4-5D6E-409C-BE32-E72D297353CC}">
                <c16:uniqueId val="{00000001-E9FF-48BD-96F1-2A31886A44E9}"/>
              </c:ext>
            </c:extLst>
          </c:dPt>
          <c:dPt>
            <c:idx val="1"/>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3-E9FF-48BD-96F1-2A31886A44E9}"/>
              </c:ext>
            </c:extLst>
          </c:dPt>
          <c:dPt>
            <c:idx val="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5-E9FF-48BD-96F1-2A31886A44E9}"/>
              </c:ext>
            </c:extLst>
          </c:dPt>
          <c:dPt>
            <c:idx val="3"/>
            <c:bubble3D val="0"/>
            <c:spPr>
              <a:solidFill>
                <a:srgbClr val="501E82"/>
              </a:solidFill>
              <a:ln w="19050">
                <a:solidFill>
                  <a:schemeClr val="lt1"/>
                </a:solidFill>
              </a:ln>
              <a:effectLst/>
            </c:spPr>
            <c:extLst>
              <c:ext xmlns:c16="http://schemas.microsoft.com/office/drawing/2014/chart" uri="{C3380CC4-5D6E-409C-BE32-E72D297353CC}">
                <c16:uniqueId val="{00000007-E9FF-48BD-96F1-2A31886A44E9}"/>
              </c:ext>
            </c:extLst>
          </c:dPt>
          <c:dLbls>
            <c:dLbl>
              <c:idx val="0"/>
              <c:tx>
                <c:rich>
                  <a:bodyPr/>
                  <a:lstStyle/>
                  <a:p>
                    <a:fld id="{16DD6A10-14D8-4714-85A4-FBAF99E510CF}"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E9FF-48BD-96F1-2A31886A44E9}"/>
                </c:ext>
              </c:extLst>
            </c:dLbl>
            <c:dLbl>
              <c:idx val="3"/>
              <c:tx>
                <c:rich>
                  <a:bodyPr/>
                  <a:lstStyle/>
                  <a:p>
                    <a:fld id="{BB0F50F1-98EC-4CD0-88A9-72A8FD98F97C}" type="VALUE">
                      <a:rPr lang="en-US">
                        <a:solidFill>
                          <a:schemeClr val="tx1"/>
                        </a:solidFill>
                      </a:rPr>
                      <a:pPr/>
                      <a:t>[VALUE]</a:t>
                    </a:fld>
                    <a:endParaRPr lang="en-GB"/>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9FF-48BD-96F1-2A31886A44E9}"/>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Verdana"/>
                    <a:ea typeface="Verdana"/>
                    <a:cs typeface="Verdana"/>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Calculations!$C$51:$C$54</c:f>
              <c:strCache>
                <c:ptCount val="4"/>
                <c:pt idx="0">
                  <c:v>Resource</c:v>
                </c:pt>
                <c:pt idx="1">
                  <c:v>Sustain</c:v>
                </c:pt>
                <c:pt idx="2">
                  <c:v>Maintain</c:v>
                </c:pt>
                <c:pt idx="3">
                  <c:v>Enable</c:v>
                </c:pt>
              </c:strCache>
            </c:strRef>
          </c:cat>
          <c:val>
            <c:numRef>
              <c:f>Calculations!$B$51:$B$54</c:f>
              <c:numCache>
                <c:formatCode>"£"#,##0</c:formatCode>
                <c:ptCount val="4"/>
                <c:pt idx="0">
                  <c:v>0</c:v>
                </c:pt>
                <c:pt idx="1">
                  <c:v>0</c:v>
                </c:pt>
                <c:pt idx="2">
                  <c:v>0</c:v>
                </c:pt>
                <c:pt idx="3">
                  <c:v>0</c:v>
                </c:pt>
              </c:numCache>
            </c:numRef>
          </c:val>
          <c:extLst>
            <c:ext xmlns:c16="http://schemas.microsoft.com/office/drawing/2014/chart" uri="{C3380CC4-5D6E-409C-BE32-E72D297353CC}">
              <c16:uniqueId val="{00000008-E9FF-48BD-96F1-2A31886A44E9}"/>
            </c:ext>
          </c:extLst>
        </c:ser>
        <c:dLbls>
          <c:showLegendKey val="0"/>
          <c:showVal val="0"/>
          <c:showCatName val="1"/>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1270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5">
  <a:schemeClr val="accent2"/>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5">
  <a:schemeClr val="accent2"/>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2b Giving history'!A1"/><Relationship Id="rId7" Type="http://schemas.openxmlformats.org/officeDocument/2006/relationships/hyperlink" Target="#'5 Digging deeper'!A1"/><Relationship Id="rId2" Type="http://schemas.openxmlformats.org/officeDocument/2006/relationships/hyperlink" Target="#'2a Finance history'!A1"/><Relationship Id="rId1" Type="http://schemas.openxmlformats.org/officeDocument/2006/relationships/hyperlink" Target="#'1 Start here'!A1"/><Relationship Id="rId6" Type="http://schemas.openxmlformats.org/officeDocument/2006/relationships/hyperlink" Target="#'4 Print report'!A1"/><Relationship Id="rId5" Type="http://schemas.openxmlformats.org/officeDocument/2006/relationships/hyperlink" Target="#'3b Gift array'!A1"/><Relationship Id="rId4" Type="http://schemas.openxmlformats.org/officeDocument/2006/relationships/hyperlink" Target="#'3a Budget plan'!A1"/></Relationships>
</file>

<file path=xl/drawings/_rels/drawing10.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hyperlink" Target="#'5 Digging deeper'!A1"/><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5" Type="http://schemas.openxmlformats.org/officeDocument/2006/relationships/hyperlink" Target="#Menu!A1"/><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hyperlink" Target="#'5b Report with restricted funds'!A1"/></Relationships>
</file>

<file path=xl/drawings/_rels/drawing11.xml.rels><?xml version="1.0" encoding="UTF-8" standalone="yes"?>
<Relationships xmlns="http://schemas.openxmlformats.org/package/2006/relationships"><Relationship Id="rId8" Type="http://schemas.openxmlformats.org/officeDocument/2006/relationships/chart" Target="../charts/chart30.xml"/><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11" Type="http://schemas.openxmlformats.org/officeDocument/2006/relationships/hyperlink" Target="#Menu!A1"/><Relationship Id="rId5" Type="http://schemas.openxmlformats.org/officeDocument/2006/relationships/chart" Target="../charts/chart27.xml"/><Relationship Id="rId10" Type="http://schemas.openxmlformats.org/officeDocument/2006/relationships/hyperlink" Target="#'5a Report with age bands'!A1"/><Relationship Id="rId4" Type="http://schemas.openxmlformats.org/officeDocument/2006/relationships/chart" Target="../charts/chart26.xml"/><Relationship Id="rId9"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hyperlink" Target="#'2b Giving history'!A1"/><Relationship Id="rId1" Type="http://schemas.openxmlformats.org/officeDocument/2006/relationships/hyperlink" Target="#'1 Start here'!A1"/><Relationship Id="rId4" Type="http://schemas.openxmlformats.org/officeDocument/2006/relationships/hyperlink" Target="#'2a Finance history'!A1"/></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hyperlink" Target="#'2b Giving history'!A1"/><Relationship Id="rId1" Type="http://schemas.openxmlformats.org/officeDocument/2006/relationships/hyperlink" Target="#'1 Start here'!A1"/></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hyperlink" Target="#'3a Budget plan'!A1"/><Relationship Id="rId1" Type="http://schemas.openxmlformats.org/officeDocument/2006/relationships/hyperlink" Target="#'2a Finance history'!A1"/></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hyperlink" Target="#'3b Gift array'!A1"/><Relationship Id="rId1" Type="http://schemas.openxmlformats.org/officeDocument/2006/relationships/hyperlink" Target="#'2b Giving history'!A1"/></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hyperlink" Target="#'4 Print report'!A1"/><Relationship Id="rId1" Type="http://schemas.openxmlformats.org/officeDocument/2006/relationships/hyperlink" Target="#'3a Budget plan'!A1"/></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12" Type="http://schemas.openxmlformats.org/officeDocument/2006/relationships/hyperlink" Target="#Menu!A1"/><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hyperlink" Target="#'5 Digging deeper'!A1"/><Relationship Id="rId5" Type="http://schemas.openxmlformats.org/officeDocument/2006/relationships/chart" Target="../charts/chart6.xml"/><Relationship Id="rId10" Type="http://schemas.openxmlformats.org/officeDocument/2006/relationships/hyperlink" Target="#'3b Gift array'!A1"/><Relationship Id="rId4" Type="http://schemas.openxmlformats.org/officeDocument/2006/relationships/chart" Target="../charts/chart5.xml"/><Relationship Id="rId9"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hyperlink" Target="#'4 Print report'!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Menu!A1"/><Relationship Id="rId4" Type="http://schemas.openxmlformats.org/officeDocument/2006/relationships/hyperlink" Target="#'5a Report with age bands'!A1"/></Relationships>
</file>

<file path=xl/drawings/drawing1.xml><?xml version="1.0" encoding="utf-8"?>
<xdr:wsDr xmlns:xdr="http://schemas.openxmlformats.org/drawingml/2006/spreadsheetDrawing" xmlns:a="http://schemas.openxmlformats.org/drawingml/2006/main">
  <xdr:twoCellAnchor>
    <xdr:from>
      <xdr:col>1</xdr:col>
      <xdr:colOff>22860</xdr:colOff>
      <xdr:row>6</xdr:row>
      <xdr:rowOff>22860</xdr:rowOff>
    </xdr:from>
    <xdr:to>
      <xdr:col>1</xdr:col>
      <xdr:colOff>1463040</xdr:colOff>
      <xdr:row>6</xdr:row>
      <xdr:rowOff>304800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C951AA73-901B-43DA-B4BD-70D6BAB1C7C3}"/>
            </a:ext>
          </a:extLst>
        </xdr:cNvPr>
        <xdr:cNvSpPr/>
      </xdr:nvSpPr>
      <xdr:spPr>
        <a:xfrm>
          <a:off x="419100" y="1188720"/>
          <a:ext cx="144018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1. Start</a:t>
          </a:r>
          <a:r>
            <a:rPr lang="en-GB" sz="1100" kern="1200" baseline="0">
              <a:solidFill>
                <a:schemeClr val="tx1"/>
              </a:solidFill>
            </a:rPr>
            <a:t> here</a:t>
          </a:r>
          <a:endParaRPr lang="en-GB" sz="1100" kern="1200">
            <a:solidFill>
              <a:schemeClr val="tx1"/>
            </a:solidFill>
          </a:endParaRPr>
        </a:p>
      </xdr:txBody>
    </xdr:sp>
    <xdr:clientData/>
  </xdr:twoCellAnchor>
  <xdr:twoCellAnchor>
    <xdr:from>
      <xdr:col>3</xdr:col>
      <xdr:colOff>0</xdr:colOff>
      <xdr:row>6</xdr:row>
      <xdr:rowOff>22860</xdr:rowOff>
    </xdr:from>
    <xdr:to>
      <xdr:col>3</xdr:col>
      <xdr:colOff>1800000</xdr:colOff>
      <xdr:row>6</xdr:row>
      <xdr:rowOff>304800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4BD3B77-01F0-46E3-ADA4-9313970EAEEB}"/>
            </a:ext>
          </a:extLst>
        </xdr:cNvPr>
        <xdr:cNvSpPr/>
      </xdr:nvSpPr>
      <xdr:spPr>
        <a:xfrm>
          <a:off x="2049780" y="1188720"/>
          <a:ext cx="1800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2a. Add the </a:t>
          </a:r>
          <a:r>
            <a:rPr lang="en-GB" sz="1100" kern="1200" baseline="0">
              <a:solidFill>
                <a:schemeClr val="tx1"/>
              </a:solidFill>
            </a:rPr>
            <a:t>finance history</a:t>
          </a:r>
          <a:endParaRPr lang="en-GB" sz="1100" kern="1200">
            <a:solidFill>
              <a:schemeClr val="tx1"/>
            </a:solidFill>
          </a:endParaRPr>
        </a:p>
      </xdr:txBody>
    </xdr:sp>
    <xdr:clientData/>
  </xdr:twoCellAnchor>
  <xdr:twoCellAnchor>
    <xdr:from>
      <xdr:col>3</xdr:col>
      <xdr:colOff>0</xdr:colOff>
      <xdr:row>9</xdr:row>
      <xdr:rowOff>22860</xdr:rowOff>
    </xdr:from>
    <xdr:to>
      <xdr:col>3</xdr:col>
      <xdr:colOff>1800000</xdr:colOff>
      <xdr:row>9</xdr:row>
      <xdr:rowOff>304800</xdr:rowOff>
    </xdr:to>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1795D301-08D2-4EDB-B01F-217A3817AAC5}"/>
            </a:ext>
          </a:extLst>
        </xdr:cNvPr>
        <xdr:cNvSpPr/>
      </xdr:nvSpPr>
      <xdr:spPr>
        <a:xfrm>
          <a:off x="2049780" y="1188720"/>
          <a:ext cx="1800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2b. Add the </a:t>
          </a:r>
          <a:r>
            <a:rPr lang="en-GB" sz="1100" kern="1200" baseline="0">
              <a:solidFill>
                <a:schemeClr val="tx1"/>
              </a:solidFill>
            </a:rPr>
            <a:t>giving history</a:t>
          </a:r>
          <a:endParaRPr lang="en-GB" sz="1100" kern="1200">
            <a:solidFill>
              <a:schemeClr val="tx1"/>
            </a:solidFill>
          </a:endParaRPr>
        </a:p>
      </xdr:txBody>
    </xdr:sp>
    <xdr:clientData/>
  </xdr:twoCellAnchor>
  <xdr:twoCellAnchor>
    <xdr:from>
      <xdr:col>5</xdr:col>
      <xdr:colOff>0</xdr:colOff>
      <xdr:row>6</xdr:row>
      <xdr:rowOff>22860</xdr:rowOff>
    </xdr:from>
    <xdr:to>
      <xdr:col>5</xdr:col>
      <xdr:colOff>1800000</xdr:colOff>
      <xdr:row>6</xdr:row>
      <xdr:rowOff>304800</xdr:rowOff>
    </xdr:to>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D6FE41F4-AB67-49EA-BC43-2DD91BC89FC6}"/>
            </a:ext>
          </a:extLst>
        </xdr:cNvPr>
        <xdr:cNvSpPr/>
      </xdr:nvSpPr>
      <xdr:spPr>
        <a:xfrm>
          <a:off x="2049780" y="1188720"/>
          <a:ext cx="1800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3a. Plan the budget</a:t>
          </a:r>
        </a:p>
      </xdr:txBody>
    </xdr:sp>
    <xdr:clientData/>
  </xdr:twoCellAnchor>
  <xdr:twoCellAnchor>
    <xdr:from>
      <xdr:col>5</xdr:col>
      <xdr:colOff>0</xdr:colOff>
      <xdr:row>9</xdr:row>
      <xdr:rowOff>22860</xdr:rowOff>
    </xdr:from>
    <xdr:to>
      <xdr:col>5</xdr:col>
      <xdr:colOff>1800000</xdr:colOff>
      <xdr:row>9</xdr:row>
      <xdr:rowOff>304800</xdr:rowOff>
    </xdr:to>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7E27A1B8-6D69-4E2C-BFA9-6032FFE02606}"/>
            </a:ext>
          </a:extLst>
        </xdr:cNvPr>
        <xdr:cNvSpPr/>
      </xdr:nvSpPr>
      <xdr:spPr>
        <a:xfrm>
          <a:off x="2049780" y="2232660"/>
          <a:ext cx="1800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3b. Plan the</a:t>
          </a:r>
          <a:r>
            <a:rPr lang="en-GB" sz="1100" kern="1200" baseline="0">
              <a:solidFill>
                <a:schemeClr val="tx1"/>
              </a:solidFill>
            </a:rPr>
            <a:t> gift array</a:t>
          </a:r>
          <a:endParaRPr lang="en-GB" sz="1100" kern="1200">
            <a:solidFill>
              <a:schemeClr val="tx1"/>
            </a:solidFill>
          </a:endParaRPr>
        </a:p>
      </xdr:txBody>
    </xdr:sp>
    <xdr:clientData/>
  </xdr:twoCellAnchor>
  <xdr:twoCellAnchor>
    <xdr:from>
      <xdr:col>7</xdr:col>
      <xdr:colOff>0</xdr:colOff>
      <xdr:row>6</xdr:row>
      <xdr:rowOff>22860</xdr:rowOff>
    </xdr:from>
    <xdr:to>
      <xdr:col>7</xdr:col>
      <xdr:colOff>1800000</xdr:colOff>
      <xdr:row>6</xdr:row>
      <xdr:rowOff>304800</xdr:rowOff>
    </xdr:to>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20783082-D1C2-4952-9ED0-3E2A2C130A9F}"/>
            </a:ext>
          </a:extLst>
        </xdr:cNvPr>
        <xdr:cNvSpPr/>
      </xdr:nvSpPr>
      <xdr:spPr>
        <a:xfrm>
          <a:off x="6103620" y="1188720"/>
          <a:ext cx="1800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4. Print the report</a:t>
          </a:r>
        </a:p>
      </xdr:txBody>
    </xdr:sp>
    <xdr:clientData/>
  </xdr:twoCellAnchor>
  <xdr:twoCellAnchor>
    <xdr:from>
      <xdr:col>9</xdr:col>
      <xdr:colOff>125730</xdr:colOff>
      <xdr:row>6</xdr:row>
      <xdr:rowOff>22860</xdr:rowOff>
    </xdr:from>
    <xdr:to>
      <xdr:col>9</xdr:col>
      <xdr:colOff>2655570</xdr:colOff>
      <xdr:row>6</xdr:row>
      <xdr:rowOff>304800</xdr:rowOff>
    </xdr:to>
    <xdr:sp macro="" textlink="">
      <xdr:nvSpPr>
        <xdr:cNvPr id="11" name="Rectangle: Rounded Corners 11">
          <a:hlinkClick xmlns:r="http://schemas.openxmlformats.org/officeDocument/2006/relationships" r:id="rId7"/>
          <a:extLst>
            <a:ext uri="{FF2B5EF4-FFF2-40B4-BE49-F238E27FC236}">
              <a16:creationId xmlns:a16="http://schemas.microsoft.com/office/drawing/2014/main" id="{E985D53C-FEF5-4581-A371-AE53C4521DE8}"/>
            </a:ext>
            <a:ext uri="{147F2762-F138-4A5C-976F-8EAC2B608ADB}">
              <a16:predDERef xmlns:a16="http://schemas.microsoft.com/office/drawing/2014/main" pred="{20783082-D1C2-4952-9ED0-3E2A2C130A9F}"/>
            </a:ext>
          </a:extLst>
        </xdr:cNvPr>
        <xdr:cNvSpPr/>
      </xdr:nvSpPr>
      <xdr:spPr>
        <a:xfrm>
          <a:off x="8069580" y="1203960"/>
          <a:ext cx="2529840" cy="281940"/>
        </a:xfrm>
        <a:prstGeom prst="roundRect">
          <a:avLst/>
        </a:prstGeom>
        <a:solidFill>
          <a:srgbClr val="CC99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5. Explore your data</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190500</xdr:colOff>
      <xdr:row>13</xdr:row>
      <xdr:rowOff>22860</xdr:rowOff>
    </xdr:from>
    <xdr:to>
      <xdr:col>7</xdr:col>
      <xdr:colOff>561480</xdr:colOff>
      <xdr:row>13</xdr:row>
      <xdr:rowOff>2902860</xdr:rowOff>
    </xdr:to>
    <xdr:graphicFrame macro="">
      <xdr:nvGraphicFramePr>
        <xdr:cNvPr id="2" name="Chart 1" descr="Bar graph comparing income and expenditure for the 3 years of finance history">
          <a:extLst>
            <a:ext uri="{FF2B5EF4-FFF2-40B4-BE49-F238E27FC236}">
              <a16:creationId xmlns:a16="http://schemas.microsoft.com/office/drawing/2014/main" id="{664899CE-242B-4022-8B8D-83BEF694F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190500</xdr:colOff>
      <xdr:row>14</xdr:row>
      <xdr:rowOff>83820</xdr:rowOff>
    </xdr:from>
    <xdr:to>
      <xdr:col>7</xdr:col>
      <xdr:colOff>561480</xdr:colOff>
      <xdr:row>14</xdr:row>
      <xdr:rowOff>2603820</xdr:rowOff>
    </xdr:to>
    <xdr:graphicFrame macro="">
      <xdr:nvGraphicFramePr>
        <xdr:cNvPr id="3" name="Chart 2" descr="Bar graph showing the surplus or deficit for each of the 3 years in the finance history">
          <a:extLst>
            <a:ext uri="{FF2B5EF4-FFF2-40B4-BE49-F238E27FC236}">
              <a16:creationId xmlns:a16="http://schemas.microsoft.com/office/drawing/2014/main" id="{B388AD50-36FD-42D4-9100-BE7230E87F77}"/>
            </a:ext>
            <a:ext uri="{147F2762-F138-4A5C-976F-8EAC2B608ADB}">
              <a16:predDERef xmlns:a16="http://schemas.microsoft.com/office/drawing/2014/main" pred="{77EDAE66-9856-75BD-E8E5-2BC08A07D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99060</xdr:colOff>
      <xdr:row>21</xdr:row>
      <xdr:rowOff>76200</xdr:rowOff>
    </xdr:from>
    <xdr:to>
      <xdr:col>7</xdr:col>
      <xdr:colOff>470040</xdr:colOff>
      <xdr:row>21</xdr:row>
      <xdr:rowOff>2956200</xdr:rowOff>
    </xdr:to>
    <xdr:graphicFrame macro="">
      <xdr:nvGraphicFramePr>
        <xdr:cNvPr id="4" name="Chart 3" descr="Stacked bar graph showing unrestricted and restricted cash asset reserves for each of the 3 years in the finance history">
          <a:extLst>
            <a:ext uri="{FF2B5EF4-FFF2-40B4-BE49-F238E27FC236}">
              <a16:creationId xmlns:a16="http://schemas.microsoft.com/office/drawing/2014/main" id="{D974CFFC-8C13-44AF-8199-66694FAE9F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33</xdr:row>
      <xdr:rowOff>45720</xdr:rowOff>
    </xdr:from>
    <xdr:to>
      <xdr:col>8</xdr:col>
      <xdr:colOff>532680</xdr:colOff>
      <xdr:row>33</xdr:row>
      <xdr:rowOff>3285720</xdr:rowOff>
    </xdr:to>
    <xdr:graphicFrame macro="">
      <xdr:nvGraphicFramePr>
        <xdr:cNvPr id="5" name="Chart 4" descr="Stacked bar graph showing the number of people for each size band of gift, along with whether they can claim Gift Aid or not">
          <a:extLst>
            <a:ext uri="{FF2B5EF4-FFF2-40B4-BE49-F238E27FC236}">
              <a16:creationId xmlns:a16="http://schemas.microsoft.com/office/drawing/2014/main" id="{F263DC6F-EB76-45D7-8854-AD7CB132D8DD}"/>
            </a:ext>
            <a:ext uri="{147F2762-F138-4A5C-976F-8EAC2B608ADB}">
              <a16:predDERef xmlns:a16="http://schemas.microsoft.com/office/drawing/2014/main" pred="{35717DB4-826F-44DC-AB46-BE1FF7A95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34</xdr:row>
      <xdr:rowOff>40640</xdr:rowOff>
    </xdr:from>
    <xdr:to>
      <xdr:col>4</xdr:col>
      <xdr:colOff>365400</xdr:colOff>
      <xdr:row>34</xdr:row>
      <xdr:rowOff>3290454</xdr:rowOff>
    </xdr:to>
    <xdr:graphicFrame macro="">
      <xdr:nvGraphicFramePr>
        <xdr:cNvPr id="7" name="Chart 6" descr="Stacked bar graph showing the spread of gifts by giving method, along with whether they can be Gift Aided or not.">
          <a:extLst>
            <a:ext uri="{FF2B5EF4-FFF2-40B4-BE49-F238E27FC236}">
              <a16:creationId xmlns:a16="http://schemas.microsoft.com/office/drawing/2014/main" id="{4971D4D9-96D9-49AC-8B7C-076C3CE6B9F5}"/>
            </a:ext>
            <a:ext uri="{147F2762-F138-4A5C-976F-8EAC2B608ADB}">
              <a16:predDERef xmlns:a16="http://schemas.microsoft.com/office/drawing/2014/main" pred="{035C7E1A-D452-44A6-BB57-6F7BCE3BC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408940</xdr:colOff>
      <xdr:row>34</xdr:row>
      <xdr:rowOff>40640</xdr:rowOff>
    </xdr:from>
    <xdr:to>
      <xdr:col>8</xdr:col>
      <xdr:colOff>516580</xdr:colOff>
      <xdr:row>34</xdr:row>
      <xdr:rowOff>3290454</xdr:rowOff>
    </xdr:to>
    <xdr:graphicFrame macro="">
      <xdr:nvGraphicFramePr>
        <xdr:cNvPr id="8" name="Chart 7" descr="Pie chart showing the proportion of giving by each giving method">
          <a:extLst>
            <a:ext uri="{FF2B5EF4-FFF2-40B4-BE49-F238E27FC236}">
              <a16:creationId xmlns:a16="http://schemas.microsoft.com/office/drawing/2014/main" id="{477FBE8D-97DD-4837-BFE2-7F3793FF6F76}"/>
            </a:ext>
            <a:ext uri="{147F2762-F138-4A5C-976F-8EAC2B608ADB}">
              <a16:predDERef xmlns:a16="http://schemas.microsoft.com/office/drawing/2014/main" pred="{33DB8B4C-6DC9-465A-8E46-66A2391D6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335280</xdr:colOff>
      <xdr:row>1</xdr:row>
      <xdr:rowOff>266700</xdr:rowOff>
    </xdr:from>
    <xdr:to>
      <xdr:col>15</xdr:col>
      <xdr:colOff>31980</xdr:colOff>
      <xdr:row>13</xdr:row>
      <xdr:rowOff>99480</xdr:rowOff>
    </xdr:to>
    <xdr:sp macro="" textlink="">
      <xdr:nvSpPr>
        <xdr:cNvPr id="11" name="Rectangle: Single Corner Snipped 10">
          <a:extLst>
            <a:ext uri="{FF2B5EF4-FFF2-40B4-BE49-F238E27FC236}">
              <a16:creationId xmlns:a16="http://schemas.microsoft.com/office/drawing/2014/main" id="{FE4DA797-B9AC-4C5B-912B-6668727F842D}"/>
            </a:ext>
          </a:extLst>
        </xdr:cNvPr>
        <xdr:cNvSpPr/>
      </xdr:nvSpPr>
      <xdr:spPr>
        <a:xfrm flipH="1">
          <a:off x="7132320" y="563880"/>
          <a:ext cx="3354300" cy="262170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Export and printing</a:t>
          </a:r>
          <a:r>
            <a:rPr lang="en-GB" sz="1050" b="1" u="sng" baseline="0">
              <a:solidFill>
                <a:sysClr val="windowText" lastClr="000000"/>
              </a:solidFill>
            </a:rPr>
            <a:t> guidance</a:t>
          </a:r>
          <a:endParaRPr lang="en-GB" sz="1050" b="1" u="sng">
            <a:solidFill>
              <a:sysClr val="windowText" lastClr="000000"/>
            </a:solidFill>
          </a:endParaRPr>
        </a:p>
        <a:p>
          <a:pPr algn="l"/>
          <a:r>
            <a:rPr lang="en-GB" sz="1050">
              <a:solidFill>
                <a:sysClr val="windowText" lastClr="000000"/>
              </a:solidFill>
            </a:rPr>
            <a:t>This tab is formatted to export as an A4 multi-page pdf document.  IT HAS THE SAME FORMAT AS 4 PRINT REPORT, BUT INCLUDES AN ANALYSIS</a:t>
          </a:r>
          <a:r>
            <a:rPr lang="en-GB" sz="1050" baseline="0">
              <a:solidFill>
                <a:sysClr val="windowText" lastClr="000000"/>
              </a:solidFill>
            </a:rPr>
            <a:t> BY AGE</a:t>
          </a:r>
          <a:r>
            <a:rPr lang="en-GB" sz="1050">
              <a:solidFill>
                <a:sysClr val="windowText" lastClr="000000"/>
              </a:solidFill>
            </a:rPr>
            <a:t>.</a:t>
          </a:r>
        </a:p>
        <a:p>
          <a:pPr algn="l"/>
          <a:endParaRPr lang="en-GB" sz="1050">
            <a:solidFill>
              <a:sysClr val="windowText" lastClr="000000"/>
            </a:solidFill>
          </a:endParaRPr>
        </a:p>
        <a:p>
          <a:pPr algn="l"/>
          <a:r>
            <a:rPr lang="en-GB" sz="1050">
              <a:solidFill>
                <a:sysClr val="windowText" lastClr="000000"/>
              </a:solidFill>
            </a:rPr>
            <a:t>To export it as pdf for emailing, click </a:t>
          </a:r>
          <a:r>
            <a:rPr lang="en-GB" sz="1050" b="1">
              <a:solidFill>
                <a:sysClr val="windowText" lastClr="000000"/>
              </a:solidFill>
            </a:rPr>
            <a:t>File &gt; Export &gt; Create PDF Document (or Download as PDF)</a:t>
          </a:r>
          <a:r>
            <a:rPr lang="en-GB" sz="1050">
              <a:solidFill>
                <a:sysClr val="windowText" lastClr="000000"/>
              </a:solidFill>
            </a:rPr>
            <a:t>.</a:t>
          </a:r>
        </a:p>
        <a:p>
          <a:pPr algn="l"/>
          <a:endParaRPr lang="en-GB" sz="1050">
            <a:solidFill>
              <a:sysClr val="windowText" lastClr="000000"/>
            </a:solidFill>
          </a:endParaRPr>
        </a:p>
        <a:p>
          <a:pPr algn="l"/>
          <a:r>
            <a:rPr lang="en-GB" sz="1050">
              <a:solidFill>
                <a:sysClr val="windowText" lastClr="000000"/>
              </a:solidFill>
            </a:rPr>
            <a:t>To print it for distributing as hard copy, click </a:t>
          </a:r>
          <a:r>
            <a:rPr lang="en-GB" sz="1050" b="1">
              <a:solidFill>
                <a:sysClr val="windowText" lastClr="000000"/>
              </a:solidFill>
            </a:rPr>
            <a:t>File &gt; Print</a:t>
          </a:r>
          <a:r>
            <a:rPr lang="en-GB" sz="1050">
              <a:solidFill>
                <a:sysClr val="windowText" lastClr="000000"/>
              </a:solidFill>
            </a:rPr>
            <a:t> and select your printer.</a:t>
          </a:r>
        </a:p>
        <a:p>
          <a:pPr algn="l"/>
          <a:endParaRPr lang="en-GB" sz="1050">
            <a:solidFill>
              <a:sysClr val="windowText" lastClr="000000"/>
            </a:solidFill>
          </a:endParaRPr>
        </a:p>
        <a:p>
          <a:pPr algn="l"/>
          <a:r>
            <a:rPr lang="en-GB" sz="1050">
              <a:solidFill>
                <a:sysClr val="windowText" lastClr="000000"/>
              </a:solidFill>
            </a:rPr>
            <a:t>These instructions will not be included in the final report.</a:t>
          </a:r>
        </a:p>
      </xdr:txBody>
    </xdr:sp>
    <xdr:clientData/>
  </xdr:twoCellAnchor>
  <xdr:twoCellAnchor>
    <xdr:from>
      <xdr:col>1</xdr:col>
      <xdr:colOff>631431</xdr:colOff>
      <xdr:row>53</xdr:row>
      <xdr:rowOff>319556</xdr:rowOff>
    </xdr:from>
    <xdr:to>
      <xdr:col>8</xdr:col>
      <xdr:colOff>11671</xdr:colOff>
      <xdr:row>54</xdr:row>
      <xdr:rowOff>2015551</xdr:rowOff>
    </xdr:to>
    <xdr:graphicFrame macro="">
      <xdr:nvGraphicFramePr>
        <xdr:cNvPr id="13" name="Chart 12">
          <a:extLst>
            <a:ext uri="{FF2B5EF4-FFF2-40B4-BE49-F238E27FC236}">
              <a16:creationId xmlns:a16="http://schemas.microsoft.com/office/drawing/2014/main" id="{589B6A8E-D438-7150-D51B-0FEF7093EA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457204</xdr:colOff>
      <xdr:row>51</xdr:row>
      <xdr:rowOff>178519</xdr:rowOff>
    </xdr:from>
    <xdr:to>
      <xdr:col>8</xdr:col>
      <xdr:colOff>604889</xdr:colOff>
      <xdr:row>52</xdr:row>
      <xdr:rowOff>1501862</xdr:rowOff>
    </xdr:to>
    <xdr:graphicFrame macro="">
      <xdr:nvGraphicFramePr>
        <xdr:cNvPr id="14" name="Chart 13">
          <a:extLst>
            <a:ext uri="{FF2B5EF4-FFF2-40B4-BE49-F238E27FC236}">
              <a16:creationId xmlns:a16="http://schemas.microsoft.com/office/drawing/2014/main" id="{5793F111-BBC2-7BAA-8EF9-A03DA5603D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130629</xdr:colOff>
      <xdr:row>51</xdr:row>
      <xdr:rowOff>178519</xdr:rowOff>
    </xdr:from>
    <xdr:to>
      <xdr:col>4</xdr:col>
      <xdr:colOff>398058</xdr:colOff>
      <xdr:row>52</xdr:row>
      <xdr:rowOff>1501862</xdr:rowOff>
    </xdr:to>
    <xdr:graphicFrame macro="">
      <xdr:nvGraphicFramePr>
        <xdr:cNvPr id="15" name="Chart 14">
          <a:extLst>
            <a:ext uri="{FF2B5EF4-FFF2-40B4-BE49-F238E27FC236}">
              <a16:creationId xmlns:a16="http://schemas.microsoft.com/office/drawing/2014/main" id="{4BA9A461-6343-488E-9320-91D04749AE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621030</xdr:colOff>
      <xdr:row>65</xdr:row>
      <xdr:rowOff>83820</xdr:rowOff>
    </xdr:from>
    <xdr:to>
      <xdr:col>9</xdr:col>
      <xdr:colOff>11430</xdr:colOff>
      <xdr:row>65</xdr:row>
      <xdr:rowOff>4503420</xdr:rowOff>
    </xdr:to>
    <xdr:graphicFrame macro="">
      <xdr:nvGraphicFramePr>
        <xdr:cNvPr id="9" name="Chart 8" descr="Pie chart showing the expenditure categories in the budget">
          <a:extLst>
            <a:ext uri="{FF2B5EF4-FFF2-40B4-BE49-F238E27FC236}">
              <a16:creationId xmlns:a16="http://schemas.microsoft.com/office/drawing/2014/main" id="{8147220D-BF02-4AA3-9C1C-73DFE78BD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65</xdr:row>
      <xdr:rowOff>76200</xdr:rowOff>
    </xdr:from>
    <xdr:to>
      <xdr:col>4</xdr:col>
      <xdr:colOff>521970</xdr:colOff>
      <xdr:row>65</xdr:row>
      <xdr:rowOff>4511040</xdr:rowOff>
    </xdr:to>
    <xdr:graphicFrame macro="">
      <xdr:nvGraphicFramePr>
        <xdr:cNvPr id="10" name="Chart 9" descr="Pie chart showing the categories of income in the budget">
          <a:extLst>
            <a:ext uri="{FF2B5EF4-FFF2-40B4-BE49-F238E27FC236}">
              <a16:creationId xmlns:a16="http://schemas.microsoft.com/office/drawing/2014/main" id="{3522B4E0-0D9F-48EB-B545-23BFF4C7CD64}"/>
            </a:ext>
            <a:ext uri="{147F2762-F138-4A5C-976F-8EAC2B608ADB}">
              <a16:predDERef xmlns:a16="http://schemas.microsoft.com/office/drawing/2014/main" pred="{FD1064BA-E8D1-4A22-B8D8-98941D24F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15240</xdr:colOff>
      <xdr:row>39</xdr:row>
      <xdr:rowOff>7620</xdr:rowOff>
    </xdr:from>
    <xdr:to>
      <xdr:col>8</xdr:col>
      <xdr:colOff>729780</xdr:colOff>
      <xdr:row>39</xdr:row>
      <xdr:rowOff>3177540</xdr:rowOff>
    </xdr:to>
    <xdr:graphicFrame macro="">
      <xdr:nvGraphicFramePr>
        <xdr:cNvPr id="12" name="Chart 11" descr="A line chart demonstrating how dependent we are on a few larger gifts.  If 5% or 10% on the horizontal axis reaches 20% or 30% on the vertical axis, we are vulnerable">
          <a:extLst>
            <a:ext uri="{FF2B5EF4-FFF2-40B4-BE49-F238E27FC236}">
              <a16:creationId xmlns:a16="http://schemas.microsoft.com/office/drawing/2014/main" id="{4B54BF71-8546-499D-ADCE-C729F31AB217}"/>
            </a:ext>
            <a:ext uri="{147F2762-F138-4A5C-976F-8EAC2B608ADB}">
              <a16:predDERef xmlns:a16="http://schemas.microsoft.com/office/drawing/2014/main" pred="{DC2C58C6-E3EE-496B-A985-55DCABCBD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106680</xdr:colOff>
      <xdr:row>0</xdr:row>
      <xdr:rowOff>0</xdr:rowOff>
    </xdr:from>
    <xdr:to>
      <xdr:col>12</xdr:col>
      <xdr:colOff>167160</xdr:colOff>
      <xdr:row>0</xdr:row>
      <xdr:rowOff>281940</xdr:rowOff>
    </xdr:to>
    <xdr:sp macro="" textlink="">
      <xdr:nvSpPr>
        <xdr:cNvPr id="6" name="Rectangle: Rounded Corners 5">
          <a:hlinkClick xmlns:r="http://schemas.openxmlformats.org/officeDocument/2006/relationships" r:id="rId13"/>
          <a:extLst>
            <a:ext uri="{FF2B5EF4-FFF2-40B4-BE49-F238E27FC236}">
              <a16:creationId xmlns:a16="http://schemas.microsoft.com/office/drawing/2014/main" id="{582D9338-3AAF-4E24-80DE-0F7586990DAB}"/>
            </a:ext>
          </a:extLst>
        </xdr:cNvPr>
        <xdr:cNvSpPr/>
      </xdr:nvSpPr>
      <xdr:spPr>
        <a:xfrm>
          <a:off x="763524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12</xdr:col>
      <xdr:colOff>213360</xdr:colOff>
      <xdr:row>0</xdr:row>
      <xdr:rowOff>0</xdr:rowOff>
    </xdr:from>
    <xdr:to>
      <xdr:col>13</xdr:col>
      <xdr:colOff>273840</xdr:colOff>
      <xdr:row>0</xdr:row>
      <xdr:rowOff>281940</xdr:rowOff>
    </xdr:to>
    <xdr:sp macro="" textlink="">
      <xdr:nvSpPr>
        <xdr:cNvPr id="16" name="Rectangle: Rounded Corners 15">
          <a:hlinkClick xmlns:r="http://schemas.openxmlformats.org/officeDocument/2006/relationships" r:id="rId14"/>
          <a:extLst>
            <a:ext uri="{FF2B5EF4-FFF2-40B4-BE49-F238E27FC236}">
              <a16:creationId xmlns:a16="http://schemas.microsoft.com/office/drawing/2014/main" id="{A068E7A8-3A09-44AF-B2D1-B2FD60E58ED3}"/>
            </a:ext>
          </a:extLst>
        </xdr:cNvPr>
        <xdr:cNvSpPr/>
      </xdr:nvSpPr>
      <xdr:spPr>
        <a:xfrm>
          <a:off x="847344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10</xdr:col>
      <xdr:colOff>0</xdr:colOff>
      <xdr:row>0</xdr:row>
      <xdr:rowOff>0</xdr:rowOff>
    </xdr:from>
    <xdr:to>
      <xdr:col>11</xdr:col>
      <xdr:colOff>60480</xdr:colOff>
      <xdr:row>0</xdr:row>
      <xdr:rowOff>281940</xdr:rowOff>
    </xdr:to>
    <xdr:sp macro="" textlink="">
      <xdr:nvSpPr>
        <xdr:cNvPr id="17" name="Rectangle: Rounded Corners 16">
          <a:hlinkClick xmlns:r="http://schemas.openxmlformats.org/officeDocument/2006/relationships" r:id="rId15"/>
          <a:extLst>
            <a:ext uri="{FF2B5EF4-FFF2-40B4-BE49-F238E27FC236}">
              <a16:creationId xmlns:a16="http://schemas.microsoft.com/office/drawing/2014/main" id="{F00EEAC4-82E8-4C06-BC8C-D1D1D36E6E45}"/>
            </a:ext>
          </a:extLst>
        </xdr:cNvPr>
        <xdr:cNvSpPr/>
      </xdr:nvSpPr>
      <xdr:spPr>
        <a:xfrm>
          <a:off x="679704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190500</xdr:colOff>
      <xdr:row>14</xdr:row>
      <xdr:rowOff>83820</xdr:rowOff>
    </xdr:from>
    <xdr:to>
      <xdr:col>7</xdr:col>
      <xdr:colOff>561480</xdr:colOff>
      <xdr:row>14</xdr:row>
      <xdr:rowOff>2603820</xdr:rowOff>
    </xdr:to>
    <xdr:graphicFrame macro="">
      <xdr:nvGraphicFramePr>
        <xdr:cNvPr id="3" name="Chart 2" descr="Bar graph showing the surplus or deficit for each of the 3 years in the finance history">
          <a:extLst>
            <a:ext uri="{FF2B5EF4-FFF2-40B4-BE49-F238E27FC236}">
              <a16:creationId xmlns:a16="http://schemas.microsoft.com/office/drawing/2014/main" id="{D1624747-4D46-4318-A1AE-CAD87B051C65}"/>
            </a:ext>
            <a:ext uri="{147F2762-F138-4A5C-976F-8EAC2B608ADB}">
              <a16:predDERef xmlns:a16="http://schemas.microsoft.com/office/drawing/2014/main" pred="{77EDAE66-9856-75BD-E8E5-2BC08A07D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99060</xdr:colOff>
      <xdr:row>21</xdr:row>
      <xdr:rowOff>76200</xdr:rowOff>
    </xdr:from>
    <xdr:to>
      <xdr:col>7</xdr:col>
      <xdr:colOff>470040</xdr:colOff>
      <xdr:row>21</xdr:row>
      <xdr:rowOff>2956200</xdr:rowOff>
    </xdr:to>
    <xdr:graphicFrame macro="">
      <xdr:nvGraphicFramePr>
        <xdr:cNvPr id="4" name="Chart 3" descr="Stacked bar graph showing unrestricted and restricted cash asset reserves for each of the 3 years in the finance history">
          <a:extLst>
            <a:ext uri="{FF2B5EF4-FFF2-40B4-BE49-F238E27FC236}">
              <a16:creationId xmlns:a16="http://schemas.microsoft.com/office/drawing/2014/main" id="{B98111FB-E2AD-41DC-9F4E-CC9BD7617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33</xdr:row>
      <xdr:rowOff>45720</xdr:rowOff>
    </xdr:from>
    <xdr:to>
      <xdr:col>8</xdr:col>
      <xdr:colOff>532680</xdr:colOff>
      <xdr:row>33</xdr:row>
      <xdr:rowOff>3285720</xdr:rowOff>
    </xdr:to>
    <xdr:graphicFrame macro="">
      <xdr:nvGraphicFramePr>
        <xdr:cNvPr id="5" name="Chart 4" descr="Stacked bar graph showing the number of people for each size band of gift, along with whether they can claim Gift Aid or not">
          <a:extLst>
            <a:ext uri="{FF2B5EF4-FFF2-40B4-BE49-F238E27FC236}">
              <a16:creationId xmlns:a16="http://schemas.microsoft.com/office/drawing/2014/main" id="{31CBC582-49F0-4887-BF67-37327710DCBC}"/>
            </a:ext>
            <a:ext uri="{147F2762-F138-4A5C-976F-8EAC2B608ADB}">
              <a16:predDERef xmlns:a16="http://schemas.microsoft.com/office/drawing/2014/main" pred="{35717DB4-826F-44DC-AB46-BE1FF7A95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34</xdr:row>
      <xdr:rowOff>40640</xdr:rowOff>
    </xdr:from>
    <xdr:to>
      <xdr:col>4</xdr:col>
      <xdr:colOff>365400</xdr:colOff>
      <xdr:row>34</xdr:row>
      <xdr:rowOff>3290454</xdr:rowOff>
    </xdr:to>
    <xdr:graphicFrame macro="">
      <xdr:nvGraphicFramePr>
        <xdr:cNvPr id="7" name="Chart 6" descr="Stacked bar graph showing the spread of gifts by giving method, along with whether they can be Gift Aided or not.">
          <a:extLst>
            <a:ext uri="{FF2B5EF4-FFF2-40B4-BE49-F238E27FC236}">
              <a16:creationId xmlns:a16="http://schemas.microsoft.com/office/drawing/2014/main" id="{52DC7AA7-7AFE-40D5-80B8-D45E0067A717}"/>
            </a:ext>
            <a:ext uri="{147F2762-F138-4A5C-976F-8EAC2B608ADB}">
              <a16:predDERef xmlns:a16="http://schemas.microsoft.com/office/drawing/2014/main" pred="{035C7E1A-D452-44A6-BB57-6F7BCE3BC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408940</xdr:colOff>
      <xdr:row>34</xdr:row>
      <xdr:rowOff>40640</xdr:rowOff>
    </xdr:from>
    <xdr:to>
      <xdr:col>8</xdr:col>
      <xdr:colOff>516580</xdr:colOff>
      <xdr:row>34</xdr:row>
      <xdr:rowOff>3290454</xdr:rowOff>
    </xdr:to>
    <xdr:graphicFrame macro="">
      <xdr:nvGraphicFramePr>
        <xdr:cNvPr id="8" name="Chart 7" descr="Pie chart showing the proportion of giving by each giving method">
          <a:extLst>
            <a:ext uri="{FF2B5EF4-FFF2-40B4-BE49-F238E27FC236}">
              <a16:creationId xmlns:a16="http://schemas.microsoft.com/office/drawing/2014/main" id="{04DEABDE-782D-43E7-BE45-14A946810C3A}"/>
            </a:ext>
            <a:ext uri="{147F2762-F138-4A5C-976F-8EAC2B608ADB}">
              <a16:predDERef xmlns:a16="http://schemas.microsoft.com/office/drawing/2014/main" pred="{33DB8B4C-6DC9-465A-8E46-66A2391D6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220980</xdr:colOff>
      <xdr:row>4</xdr:row>
      <xdr:rowOff>99060</xdr:rowOff>
    </xdr:from>
    <xdr:to>
      <xdr:col>14</xdr:col>
      <xdr:colOff>649200</xdr:colOff>
      <xdr:row>13</xdr:row>
      <xdr:rowOff>648120</xdr:rowOff>
    </xdr:to>
    <xdr:sp macro="" textlink="">
      <xdr:nvSpPr>
        <xdr:cNvPr id="11" name="Rectangle: Single Corner Snipped 10">
          <a:extLst>
            <a:ext uri="{FF2B5EF4-FFF2-40B4-BE49-F238E27FC236}">
              <a16:creationId xmlns:a16="http://schemas.microsoft.com/office/drawing/2014/main" id="{B25A7537-3853-4D8A-B658-7C71EFC22FFB}"/>
            </a:ext>
          </a:extLst>
        </xdr:cNvPr>
        <xdr:cNvSpPr/>
      </xdr:nvSpPr>
      <xdr:spPr>
        <a:xfrm flipH="1">
          <a:off x="7025640" y="1112520"/>
          <a:ext cx="3354300" cy="275124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Export and printing</a:t>
          </a:r>
          <a:r>
            <a:rPr lang="en-GB" sz="1050" b="1" u="sng" baseline="0">
              <a:solidFill>
                <a:sysClr val="windowText" lastClr="000000"/>
              </a:solidFill>
            </a:rPr>
            <a:t> guidance</a:t>
          </a:r>
          <a:endParaRPr lang="en-GB" sz="1050" b="1" u="sng">
            <a:solidFill>
              <a:sysClr val="windowText" lastClr="000000"/>
            </a:solidFill>
          </a:endParaRPr>
        </a:p>
        <a:p>
          <a:pPr algn="l"/>
          <a:r>
            <a:rPr lang="en-GB" sz="1050">
              <a:solidFill>
                <a:sysClr val="windowText" lastClr="000000"/>
              </a:solidFill>
            </a:rPr>
            <a:t>This tab is formatted to export as an A4 multi-page pdf document.  IT HAS THE SAME FORMAT AS 4 PRINT REPORT, BUT INCLUDES RESTRICTED FUNDS.</a:t>
          </a:r>
        </a:p>
        <a:p>
          <a:pPr algn="l"/>
          <a:endParaRPr lang="en-GB" sz="1050">
            <a:solidFill>
              <a:sysClr val="windowText" lastClr="000000"/>
            </a:solidFill>
          </a:endParaRPr>
        </a:p>
        <a:p>
          <a:pPr algn="l"/>
          <a:r>
            <a:rPr lang="en-GB" sz="1050">
              <a:solidFill>
                <a:sysClr val="windowText" lastClr="000000"/>
              </a:solidFill>
            </a:rPr>
            <a:t>To export it as pdf for emailing, click </a:t>
          </a:r>
          <a:r>
            <a:rPr lang="en-GB" sz="1050" b="1">
              <a:solidFill>
                <a:sysClr val="windowText" lastClr="000000"/>
              </a:solidFill>
            </a:rPr>
            <a:t>File &gt; Export &gt; Create PDF Document (or Download as PDF)</a:t>
          </a:r>
          <a:r>
            <a:rPr lang="en-GB" sz="1050">
              <a:solidFill>
                <a:sysClr val="windowText" lastClr="000000"/>
              </a:solidFill>
            </a:rPr>
            <a:t>.</a:t>
          </a:r>
        </a:p>
        <a:p>
          <a:pPr algn="l"/>
          <a:endParaRPr lang="en-GB" sz="1050">
            <a:solidFill>
              <a:sysClr val="windowText" lastClr="000000"/>
            </a:solidFill>
          </a:endParaRPr>
        </a:p>
        <a:p>
          <a:pPr algn="l"/>
          <a:r>
            <a:rPr lang="en-GB" sz="1050">
              <a:solidFill>
                <a:sysClr val="windowText" lastClr="000000"/>
              </a:solidFill>
            </a:rPr>
            <a:t>To print it for distributing as hard copy, click </a:t>
          </a:r>
          <a:r>
            <a:rPr lang="en-GB" sz="1050" b="1">
              <a:solidFill>
                <a:sysClr val="windowText" lastClr="000000"/>
              </a:solidFill>
            </a:rPr>
            <a:t>File &gt; Print</a:t>
          </a:r>
          <a:r>
            <a:rPr lang="en-GB" sz="1050">
              <a:solidFill>
                <a:sysClr val="windowText" lastClr="000000"/>
              </a:solidFill>
            </a:rPr>
            <a:t> and select your printer.</a:t>
          </a:r>
        </a:p>
        <a:p>
          <a:pPr algn="l"/>
          <a:endParaRPr lang="en-GB" sz="1050">
            <a:solidFill>
              <a:sysClr val="windowText" lastClr="000000"/>
            </a:solidFill>
          </a:endParaRPr>
        </a:p>
        <a:p>
          <a:pPr algn="l"/>
          <a:r>
            <a:rPr lang="en-GB" sz="1050">
              <a:solidFill>
                <a:sysClr val="windowText" lastClr="000000"/>
              </a:solidFill>
            </a:rPr>
            <a:t>These instructions will not be included in the final report.</a:t>
          </a:r>
        </a:p>
      </xdr:txBody>
    </xdr:sp>
    <xdr:clientData/>
  </xdr:twoCellAnchor>
  <xdr:twoCellAnchor>
    <xdr:from>
      <xdr:col>4</xdr:col>
      <xdr:colOff>621030</xdr:colOff>
      <xdr:row>50</xdr:row>
      <xdr:rowOff>7620</xdr:rowOff>
    </xdr:from>
    <xdr:to>
      <xdr:col>8</xdr:col>
      <xdr:colOff>956310</xdr:colOff>
      <xdr:row>50</xdr:row>
      <xdr:rowOff>4427220</xdr:rowOff>
    </xdr:to>
    <xdr:graphicFrame macro="">
      <xdr:nvGraphicFramePr>
        <xdr:cNvPr id="9" name="Chart 8" descr="Pie chart showing the expenditure categories in the budget">
          <a:extLst>
            <a:ext uri="{FF2B5EF4-FFF2-40B4-BE49-F238E27FC236}">
              <a16:creationId xmlns:a16="http://schemas.microsoft.com/office/drawing/2014/main" id="{FDC57B02-23E5-4600-A35D-0307A226A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50</xdr:row>
      <xdr:rowOff>0</xdr:rowOff>
    </xdr:from>
    <xdr:to>
      <xdr:col>4</xdr:col>
      <xdr:colOff>521970</xdr:colOff>
      <xdr:row>50</xdr:row>
      <xdr:rowOff>4434840</xdr:rowOff>
    </xdr:to>
    <xdr:graphicFrame macro="">
      <xdr:nvGraphicFramePr>
        <xdr:cNvPr id="10" name="Chart 9" descr="Pie chart showing the categories of income in the budget">
          <a:extLst>
            <a:ext uri="{FF2B5EF4-FFF2-40B4-BE49-F238E27FC236}">
              <a16:creationId xmlns:a16="http://schemas.microsoft.com/office/drawing/2014/main" id="{33D0C92A-4B19-485F-9666-34D35D5BD04B}"/>
            </a:ext>
            <a:ext uri="{147F2762-F138-4A5C-976F-8EAC2B608ADB}">
              <a16:predDERef xmlns:a16="http://schemas.microsoft.com/office/drawing/2014/main" pred="{FD1064BA-E8D1-4A22-B8D8-98941D24F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39</xdr:row>
      <xdr:rowOff>22860</xdr:rowOff>
    </xdr:from>
    <xdr:to>
      <xdr:col>8</xdr:col>
      <xdr:colOff>745020</xdr:colOff>
      <xdr:row>39</xdr:row>
      <xdr:rowOff>3192780</xdr:rowOff>
    </xdr:to>
    <xdr:graphicFrame macro="">
      <xdr:nvGraphicFramePr>
        <xdr:cNvPr id="12" name="Chart 11" descr="A line chart demonstrating how dependent we are on a few larger gifts.  If 5% or 10% on the horizontal axis reaches 20% or 30% on the vertical axis, we are vulnerable">
          <a:extLst>
            <a:ext uri="{FF2B5EF4-FFF2-40B4-BE49-F238E27FC236}">
              <a16:creationId xmlns:a16="http://schemas.microsoft.com/office/drawing/2014/main" id="{2B1D186F-B429-4817-A109-57895806A916}"/>
            </a:ext>
            <a:ext uri="{147F2762-F138-4A5C-976F-8EAC2B608ADB}">
              <a16:predDERef xmlns:a16="http://schemas.microsoft.com/office/drawing/2014/main" pred="{DC2C58C6-E3EE-496B-A985-55DCABCBD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190500</xdr:colOff>
      <xdr:row>13</xdr:row>
      <xdr:rowOff>125730</xdr:rowOff>
    </xdr:from>
    <xdr:to>
      <xdr:col>8</xdr:col>
      <xdr:colOff>9525</xdr:colOff>
      <xdr:row>13</xdr:row>
      <xdr:rowOff>2868930</xdr:rowOff>
    </xdr:to>
    <xdr:graphicFrame macro="">
      <xdr:nvGraphicFramePr>
        <xdr:cNvPr id="13" name="Chart 12">
          <a:extLst>
            <a:ext uri="{FF2B5EF4-FFF2-40B4-BE49-F238E27FC236}">
              <a16:creationId xmlns:a16="http://schemas.microsoft.com/office/drawing/2014/main" id="{195272E1-7296-4DC9-8CB2-4640F901D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106680</xdr:colOff>
      <xdr:row>0</xdr:row>
      <xdr:rowOff>0</xdr:rowOff>
    </xdr:from>
    <xdr:to>
      <xdr:col>12</xdr:col>
      <xdr:colOff>167160</xdr:colOff>
      <xdr:row>0</xdr:row>
      <xdr:rowOff>281940</xdr:rowOff>
    </xdr:to>
    <xdr:sp macro="" textlink="">
      <xdr:nvSpPr>
        <xdr:cNvPr id="2" name="Rectangle: Rounded Corners 1">
          <a:hlinkClick xmlns:r="http://schemas.openxmlformats.org/officeDocument/2006/relationships" r:id="rId10"/>
          <a:extLst>
            <a:ext uri="{FF2B5EF4-FFF2-40B4-BE49-F238E27FC236}">
              <a16:creationId xmlns:a16="http://schemas.microsoft.com/office/drawing/2014/main" id="{CA4D7904-4C09-45C5-BFB5-4D1D49AE0505}"/>
            </a:ext>
          </a:extLst>
        </xdr:cNvPr>
        <xdr:cNvSpPr/>
      </xdr:nvSpPr>
      <xdr:spPr>
        <a:xfrm>
          <a:off x="764286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10</xdr:col>
      <xdr:colOff>0</xdr:colOff>
      <xdr:row>0</xdr:row>
      <xdr:rowOff>0</xdr:rowOff>
    </xdr:from>
    <xdr:to>
      <xdr:col>11</xdr:col>
      <xdr:colOff>60480</xdr:colOff>
      <xdr:row>0</xdr:row>
      <xdr:rowOff>281940</xdr:rowOff>
    </xdr:to>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4FC4E531-9BAB-4FF5-83A7-B8F6EBE900C0}"/>
            </a:ext>
          </a:extLst>
        </xdr:cNvPr>
        <xdr:cNvSpPr/>
      </xdr:nvSpPr>
      <xdr:spPr>
        <a:xfrm>
          <a:off x="680466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457200</xdr:colOff>
      <xdr:row>1</xdr:row>
      <xdr:rowOff>160020</xdr:rowOff>
    </xdr:from>
    <xdr:to>
      <xdr:col>11</xdr:col>
      <xdr:colOff>59760</xdr:colOff>
      <xdr:row>11</xdr:row>
      <xdr:rowOff>204540</xdr:rowOff>
    </xdr:to>
    <xdr:sp macro="" textlink="">
      <xdr:nvSpPr>
        <xdr:cNvPr id="2" name="Rectangle: Single Corner Snipped 1">
          <a:extLst>
            <a:ext uri="{FF2B5EF4-FFF2-40B4-BE49-F238E27FC236}">
              <a16:creationId xmlns:a16="http://schemas.microsoft.com/office/drawing/2014/main" id="{58EDD837-3E28-4589-A670-F6D68EB924F8}"/>
            </a:ext>
          </a:extLst>
        </xdr:cNvPr>
        <xdr:cNvSpPr/>
      </xdr:nvSpPr>
      <xdr:spPr>
        <a:xfrm flipH="1">
          <a:off x="5440680" y="457200"/>
          <a:ext cx="1980000" cy="195714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a:t>
          </a:r>
        </a:p>
        <a:p>
          <a:pPr algn="l"/>
          <a:r>
            <a:rPr lang="en-GB" sz="1050">
              <a:solidFill>
                <a:sysClr val="windowText" lastClr="000000"/>
              </a:solidFill>
            </a:rPr>
            <a:t>Type in</a:t>
          </a:r>
          <a:r>
            <a:rPr lang="en-GB" sz="1050" baseline="0">
              <a:solidFill>
                <a:sysClr val="windowText" lastClr="000000"/>
              </a:solidFill>
            </a:rPr>
            <a:t> the coloured cells to choose which years you want to cover.</a:t>
          </a:r>
        </a:p>
        <a:p>
          <a:pPr algn="l"/>
          <a:endParaRPr lang="en-GB" sz="1050" baseline="0">
            <a:solidFill>
              <a:sysClr val="windowText" lastClr="000000"/>
            </a:solidFill>
          </a:endParaRPr>
        </a:p>
        <a:p>
          <a:pPr algn="l"/>
          <a:r>
            <a:rPr lang="en-GB" sz="1050" baseline="0">
              <a:solidFill>
                <a:sysClr val="windowText" lastClr="000000"/>
              </a:solidFill>
            </a:rPr>
            <a:t>The colours are used throughout, when adding data and viewing graphs.</a:t>
          </a:r>
          <a:endParaRPr lang="en-GB" sz="1050">
            <a:solidFill>
              <a:sysClr val="windowText" lastClr="000000"/>
            </a:solidFill>
          </a:endParaRPr>
        </a:p>
      </xdr:txBody>
    </xdr:sp>
    <xdr:clientData/>
  </xdr:twoCellAnchor>
  <xdr:twoCellAnchor>
    <xdr:from>
      <xdr:col>1</xdr:col>
      <xdr:colOff>861060</xdr:colOff>
      <xdr:row>0</xdr:row>
      <xdr:rowOff>15240</xdr:rowOff>
    </xdr:from>
    <xdr:to>
      <xdr:col>1</xdr:col>
      <xdr:colOff>1653060</xdr:colOff>
      <xdr:row>1</xdr:row>
      <xdr:rowOff>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84324F67-A64D-40AF-A17D-35F0806CC5B7}"/>
            </a:ext>
          </a:extLst>
        </xdr:cNvPr>
        <xdr:cNvSpPr/>
      </xdr:nvSpPr>
      <xdr:spPr>
        <a:xfrm>
          <a:off x="11658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xdr:col>
      <xdr:colOff>1699260</xdr:colOff>
      <xdr:row>0</xdr:row>
      <xdr:rowOff>15240</xdr:rowOff>
    </xdr:from>
    <xdr:to>
      <xdr:col>1</xdr:col>
      <xdr:colOff>2491260</xdr:colOff>
      <xdr:row>1</xdr:row>
      <xdr:rowOff>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40DBEBC-341A-4145-8E1E-CFE5BCEEBF88}"/>
            </a:ext>
          </a:extLst>
        </xdr:cNvPr>
        <xdr:cNvSpPr/>
      </xdr:nvSpPr>
      <xdr:spPr>
        <a:xfrm>
          <a:off x="20040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861060</xdr:colOff>
      <xdr:row>0</xdr:row>
      <xdr:rowOff>15240</xdr:rowOff>
    </xdr:from>
    <xdr:to>
      <xdr:col>1</xdr:col>
      <xdr:colOff>1653060</xdr:colOff>
      <xdr:row>1</xdr:row>
      <xdr:rowOff>0</xdr:rowOff>
    </xdr:to>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C95A0E2D-5DF6-460C-AF64-0ADBE94BD2C6}"/>
            </a:ext>
          </a:extLst>
        </xdr:cNvPr>
        <xdr:cNvSpPr/>
      </xdr:nvSpPr>
      <xdr:spPr>
        <a:xfrm>
          <a:off x="11658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xdr:col>
      <xdr:colOff>1699260</xdr:colOff>
      <xdr:row>0</xdr:row>
      <xdr:rowOff>15240</xdr:rowOff>
    </xdr:from>
    <xdr:to>
      <xdr:col>1</xdr:col>
      <xdr:colOff>2491260</xdr:colOff>
      <xdr:row>1</xdr:row>
      <xdr:rowOff>0</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252A4B6F-FED4-4FE7-9327-306739DDA0F7}"/>
            </a:ext>
          </a:extLst>
        </xdr:cNvPr>
        <xdr:cNvSpPr/>
      </xdr:nvSpPr>
      <xdr:spPr>
        <a:xfrm>
          <a:off x="20040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2</xdr:col>
      <xdr:colOff>106680</xdr:colOff>
      <xdr:row>0</xdr:row>
      <xdr:rowOff>0</xdr:rowOff>
    </xdr:from>
    <xdr:to>
      <xdr:col>3</xdr:col>
      <xdr:colOff>167160</xdr:colOff>
      <xdr:row>0</xdr:row>
      <xdr:rowOff>281940</xdr:rowOff>
    </xdr:to>
    <xdr:sp macro="" textlink="">
      <xdr:nvSpPr>
        <xdr:cNvPr id="9" name="Rectangle: Rounded Corners 8">
          <a:hlinkClick xmlns:r="http://schemas.openxmlformats.org/officeDocument/2006/relationships" r:id="rId3"/>
          <a:extLst>
            <a:ext uri="{FF2B5EF4-FFF2-40B4-BE49-F238E27FC236}">
              <a16:creationId xmlns:a16="http://schemas.microsoft.com/office/drawing/2014/main" id="{5A55428E-65B5-4C04-BA06-FF03392CCAA2}"/>
            </a:ext>
          </a:extLst>
        </xdr:cNvPr>
        <xdr:cNvSpPr/>
      </xdr:nvSpPr>
      <xdr:spPr>
        <a:xfrm>
          <a:off x="114300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3</xdr:col>
      <xdr:colOff>213360</xdr:colOff>
      <xdr:row>0</xdr:row>
      <xdr:rowOff>0</xdr:rowOff>
    </xdr:from>
    <xdr:to>
      <xdr:col>4</xdr:col>
      <xdr:colOff>273840</xdr:colOff>
      <xdr:row>0</xdr:row>
      <xdr:rowOff>281940</xdr:rowOff>
    </xdr:to>
    <xdr:sp macro="" textlink="">
      <xdr:nvSpPr>
        <xdr:cNvPr id="10" name="Rectangle: Rounded Corners 9">
          <a:hlinkClick xmlns:r="http://schemas.openxmlformats.org/officeDocument/2006/relationships" r:id="rId4"/>
          <a:extLst>
            <a:ext uri="{FF2B5EF4-FFF2-40B4-BE49-F238E27FC236}">
              <a16:creationId xmlns:a16="http://schemas.microsoft.com/office/drawing/2014/main" id="{62E5BDE3-0EE0-43F4-95CC-60F2CC919C0F}"/>
            </a:ext>
          </a:extLst>
        </xdr:cNvPr>
        <xdr:cNvSpPr/>
      </xdr:nvSpPr>
      <xdr:spPr>
        <a:xfrm>
          <a:off x="198120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0</xdr:colOff>
      <xdr:row>0</xdr:row>
      <xdr:rowOff>0</xdr:rowOff>
    </xdr:from>
    <xdr:to>
      <xdr:col>2</xdr:col>
      <xdr:colOff>60480</xdr:colOff>
      <xdr:row>0</xdr:row>
      <xdr:rowOff>281940</xdr:rowOff>
    </xdr:to>
    <xdr:sp macro="" textlink="">
      <xdr:nvSpPr>
        <xdr:cNvPr id="11" name="Rectangle: Rounded Corners 10">
          <a:hlinkClick xmlns:r="http://schemas.openxmlformats.org/officeDocument/2006/relationships" r:id="rId3"/>
          <a:extLst>
            <a:ext uri="{FF2B5EF4-FFF2-40B4-BE49-F238E27FC236}">
              <a16:creationId xmlns:a16="http://schemas.microsoft.com/office/drawing/2014/main" id="{9AA6ECAF-B461-4778-8E2B-3629F1ADB96B}"/>
            </a:ext>
          </a:extLst>
        </xdr:cNvPr>
        <xdr:cNvSpPr/>
      </xdr:nvSpPr>
      <xdr:spPr>
        <a:xfrm>
          <a:off x="30480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434340</xdr:colOff>
      <xdr:row>4</xdr:row>
      <xdr:rowOff>83820</xdr:rowOff>
    </xdr:from>
    <xdr:to>
      <xdr:col>23</xdr:col>
      <xdr:colOff>585540</xdr:colOff>
      <xdr:row>18</xdr:row>
      <xdr:rowOff>152400</xdr:rowOff>
    </xdr:to>
    <xdr:sp macro="" textlink="">
      <xdr:nvSpPr>
        <xdr:cNvPr id="3" name="Rectangle: Single Corner Snipped 2">
          <a:extLst>
            <a:ext uri="{FF2B5EF4-FFF2-40B4-BE49-F238E27FC236}">
              <a16:creationId xmlns:a16="http://schemas.microsoft.com/office/drawing/2014/main" id="{2E849394-A5B1-56B3-D178-2735E40A109D}"/>
            </a:ext>
          </a:extLst>
        </xdr:cNvPr>
        <xdr:cNvSpPr/>
      </xdr:nvSpPr>
      <xdr:spPr>
        <a:xfrm flipH="1">
          <a:off x="9364980" y="1051560"/>
          <a:ext cx="1980000" cy="353568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a:t>
          </a:r>
        </a:p>
        <a:p>
          <a:pPr algn="l"/>
          <a:r>
            <a:rPr lang="en-GB" sz="1050">
              <a:solidFill>
                <a:sysClr val="windowText" lastClr="000000"/>
              </a:solidFill>
            </a:rPr>
            <a:t>You can enter up to four  years of historic data from your parish returns.  </a:t>
          </a:r>
        </a:p>
        <a:p>
          <a:pPr algn="l"/>
          <a:endParaRPr lang="en-GB" sz="1050">
            <a:solidFill>
              <a:sysClr val="windowText" lastClr="000000"/>
            </a:solidFill>
          </a:endParaRPr>
        </a:p>
        <a:p>
          <a:pPr algn="l"/>
          <a:r>
            <a:rPr lang="en-GB" sz="1050">
              <a:solidFill>
                <a:sysClr val="windowText" lastClr="000000"/>
              </a:solidFill>
            </a:rPr>
            <a:t>If you need to change the year headings, go to </a:t>
          </a:r>
          <a:r>
            <a:rPr lang="en-GB" sz="1050" b="1">
              <a:solidFill>
                <a:sysClr val="windowText" lastClr="000000"/>
              </a:solidFill>
            </a:rPr>
            <a:t>1 Start here</a:t>
          </a:r>
          <a:r>
            <a:rPr lang="en-GB" sz="1050">
              <a:solidFill>
                <a:sysClr val="windowText" lastClr="000000"/>
              </a:solidFill>
            </a:rPr>
            <a:t>.</a:t>
          </a:r>
        </a:p>
        <a:p>
          <a:pPr algn="l"/>
          <a:endParaRPr lang="en-GB" sz="1050">
            <a:solidFill>
              <a:sysClr val="windowText" lastClr="000000"/>
            </a:solidFill>
          </a:endParaRPr>
        </a:p>
        <a:p>
          <a:pPr algn="l"/>
          <a:r>
            <a:rPr lang="en-GB" sz="1050">
              <a:solidFill>
                <a:sysClr val="windowText" lastClr="000000"/>
              </a:solidFill>
            </a:rPr>
            <a:t>Warning: if you "cut" data</a:t>
          </a:r>
          <a:r>
            <a:rPr lang="en-GB" sz="1050" baseline="0">
              <a:solidFill>
                <a:sysClr val="windowText" lastClr="000000"/>
              </a:solidFill>
            </a:rPr>
            <a:t> from this sheet, Excel may break the formatting and formulas.  Instead, "copy" it and then delete it by pressing the delete key.</a:t>
          </a:r>
          <a:endParaRPr lang="en-GB" sz="1050">
            <a:solidFill>
              <a:sysClr val="windowText" lastClr="000000"/>
            </a:solidFill>
          </a:endParaRPr>
        </a:p>
        <a:p>
          <a:pPr algn="l"/>
          <a:endParaRPr lang="en-GB" sz="1050">
            <a:solidFill>
              <a:sysClr val="windowText" lastClr="000000"/>
            </a:solidFill>
          </a:endParaRPr>
        </a:p>
        <a:p>
          <a:pPr algn="l"/>
          <a:r>
            <a:rPr lang="en-GB" sz="1050">
              <a:solidFill>
                <a:sysClr val="windowText" lastClr="000000"/>
              </a:solidFill>
            </a:rPr>
            <a:t>If you wish to include restricted monies, see </a:t>
          </a:r>
          <a:r>
            <a:rPr lang="en-GB" sz="1050" b="1">
              <a:solidFill>
                <a:sysClr val="windowText" lastClr="000000"/>
              </a:solidFill>
            </a:rPr>
            <a:t>5 Digging</a:t>
          </a:r>
          <a:r>
            <a:rPr lang="en-GB" sz="1050" b="1" baseline="0">
              <a:solidFill>
                <a:sysClr val="windowText" lastClr="000000"/>
              </a:solidFill>
            </a:rPr>
            <a:t> Deeper</a:t>
          </a:r>
          <a:r>
            <a:rPr lang="en-GB" sz="1050" b="0" baseline="0">
              <a:solidFill>
                <a:sysClr val="windowText" lastClr="000000"/>
              </a:solidFill>
            </a:rPr>
            <a:t>.</a:t>
          </a:r>
          <a:endParaRPr lang="en-GB" sz="1050">
            <a:solidFill>
              <a:sysClr val="windowText" lastClr="000000"/>
            </a:solidFill>
          </a:endParaRPr>
        </a:p>
      </xdr:txBody>
    </xdr:sp>
    <xdr:clientData/>
  </xdr:twoCellAnchor>
  <xdr:twoCellAnchor>
    <xdr:from>
      <xdr:col>1</xdr:col>
      <xdr:colOff>861060</xdr:colOff>
      <xdr:row>0</xdr:row>
      <xdr:rowOff>15240</xdr:rowOff>
    </xdr:from>
    <xdr:to>
      <xdr:col>1</xdr:col>
      <xdr:colOff>1653060</xdr:colOff>
      <xdr:row>1</xdr:row>
      <xdr:rowOff>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65A402E-5A29-46A7-AFB2-EEA5F468FAB0}"/>
            </a:ext>
          </a:extLst>
        </xdr:cNvPr>
        <xdr:cNvSpPr/>
      </xdr:nvSpPr>
      <xdr:spPr>
        <a:xfrm>
          <a:off x="11658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xdr:col>
      <xdr:colOff>1699260</xdr:colOff>
      <xdr:row>0</xdr:row>
      <xdr:rowOff>15240</xdr:rowOff>
    </xdr:from>
    <xdr:to>
      <xdr:col>1</xdr:col>
      <xdr:colOff>2491260</xdr:colOff>
      <xdr:row>1</xdr:row>
      <xdr:rowOff>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1EFE989-223B-4312-8A5F-4DA891CAC0D0}"/>
            </a:ext>
          </a:extLst>
        </xdr:cNvPr>
        <xdr:cNvSpPr/>
      </xdr:nvSpPr>
      <xdr:spPr>
        <a:xfrm>
          <a:off x="20040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22860</xdr:colOff>
      <xdr:row>0</xdr:row>
      <xdr:rowOff>15240</xdr:rowOff>
    </xdr:from>
    <xdr:to>
      <xdr:col>1</xdr:col>
      <xdr:colOff>814860</xdr:colOff>
      <xdr:row>1</xdr:row>
      <xdr:rowOff>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F7AAA5B8-5626-4038-91BE-0B00B02DEA49}"/>
            </a:ext>
          </a:extLst>
        </xdr:cNvPr>
        <xdr:cNvSpPr/>
      </xdr:nvSpPr>
      <xdr:spPr>
        <a:xfrm>
          <a:off x="327660" y="1524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464820</xdr:colOff>
      <xdr:row>3</xdr:row>
      <xdr:rowOff>175260</xdr:rowOff>
    </xdr:from>
    <xdr:to>
      <xdr:col>7</xdr:col>
      <xdr:colOff>163560</xdr:colOff>
      <xdr:row>25</xdr:row>
      <xdr:rowOff>172860</xdr:rowOff>
    </xdr:to>
    <xdr:sp macro="" textlink="">
      <xdr:nvSpPr>
        <xdr:cNvPr id="2" name="Rectangle: Single Corner Snipped 1">
          <a:extLst>
            <a:ext uri="{FF2B5EF4-FFF2-40B4-BE49-F238E27FC236}">
              <a16:creationId xmlns:a16="http://schemas.microsoft.com/office/drawing/2014/main" id="{4A5D2094-619D-4B12-9AB9-BD893B55E5A6}"/>
            </a:ext>
          </a:extLst>
        </xdr:cNvPr>
        <xdr:cNvSpPr/>
      </xdr:nvSpPr>
      <xdr:spPr>
        <a:xfrm flipH="1">
          <a:off x="4526280" y="693420"/>
          <a:ext cx="2160000" cy="412002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a:t>
          </a:r>
        </a:p>
        <a:p>
          <a:pPr algn="l"/>
          <a:r>
            <a:rPr lang="en-GB" sz="1050">
              <a:solidFill>
                <a:sysClr val="windowText" lastClr="000000"/>
              </a:solidFill>
              <a:latin typeface="+mn-lt"/>
              <a:ea typeface="Verdana" panose="020B0604030504040204" pitchFamily="34" charset="0"/>
            </a:rPr>
            <a:t>For each regular giver in your congregation, note the total amount given in the year (before Gift Aid).  Note the Gift Aid</a:t>
          </a:r>
          <a:r>
            <a:rPr lang="en-GB" sz="1050" baseline="0">
              <a:solidFill>
                <a:sysClr val="windowText" lastClr="000000"/>
              </a:solidFill>
              <a:latin typeface="+mn-lt"/>
              <a:ea typeface="Verdana" panose="020B0604030504040204" pitchFamily="34" charset="0"/>
            </a:rPr>
            <a:t> status</a:t>
          </a:r>
          <a:r>
            <a:rPr lang="en-GB" sz="1050">
              <a:solidFill>
                <a:sysClr val="windowText" lastClr="000000"/>
              </a:solidFill>
              <a:latin typeface="+mn-lt"/>
              <a:ea typeface="Verdana" panose="020B0604030504040204" pitchFamily="34" charset="0"/>
            </a:rPr>
            <a:t> and how it was given.  </a:t>
          </a:r>
        </a:p>
        <a:p>
          <a:pPr algn="l"/>
          <a:endParaRPr lang="en-GB" sz="1050">
            <a:solidFill>
              <a:sysClr val="windowText" lastClr="000000"/>
            </a:solidFill>
            <a:latin typeface="+mn-lt"/>
            <a:ea typeface="Verdana" panose="020B0604030504040204" pitchFamily="34" charset="0"/>
          </a:endParaRPr>
        </a:p>
        <a:p>
          <a:pPr algn="l"/>
          <a:r>
            <a:rPr lang="en-GB" sz="1050">
              <a:solidFill>
                <a:sysClr val="windowText" lastClr="000000"/>
              </a:solidFill>
              <a:latin typeface="+mn-lt"/>
              <a:ea typeface="Verdana" panose="020B0604030504040204" pitchFamily="34" charset="0"/>
            </a:rPr>
            <a:t>If you paste data from another spreadsheet,</a:t>
          </a:r>
          <a:r>
            <a:rPr lang="en-GB" sz="1050" baseline="0">
              <a:solidFill>
                <a:sysClr val="windowText" lastClr="000000"/>
              </a:solidFill>
              <a:latin typeface="+mn-lt"/>
              <a:ea typeface="Verdana" panose="020B0604030504040204" pitchFamily="34" charset="0"/>
            </a:rPr>
            <a:t> use </a:t>
          </a:r>
          <a:r>
            <a:rPr lang="en-GB" sz="1050" b="1" baseline="0">
              <a:solidFill>
                <a:sysClr val="windowText" lastClr="000000"/>
              </a:solidFill>
              <a:latin typeface="+mn-lt"/>
              <a:ea typeface="Verdana" panose="020B0604030504040204" pitchFamily="34" charset="0"/>
            </a:rPr>
            <a:t>Paste Values </a:t>
          </a:r>
          <a:r>
            <a:rPr lang="en-GB" sz="1050" baseline="0">
              <a:solidFill>
                <a:sysClr val="windowText" lastClr="000000"/>
              </a:solidFill>
              <a:latin typeface="+mn-lt"/>
              <a:ea typeface="Verdana" panose="020B0604030504040204" pitchFamily="34" charset="0"/>
            </a:rPr>
            <a:t>to keep the formatting.</a:t>
          </a:r>
        </a:p>
        <a:p>
          <a:pPr algn="l"/>
          <a:endParaRPr lang="en-GB" sz="1050" baseline="0">
            <a:solidFill>
              <a:sysClr val="windowText" lastClr="000000"/>
            </a:solidFill>
            <a:latin typeface="+mn-lt"/>
            <a:ea typeface="Verdana" panose="020B0604030504040204" pitchFamily="34" charset="0"/>
          </a:endParaRPr>
        </a:p>
        <a:p>
          <a:pPr algn="l"/>
          <a:r>
            <a:rPr lang="en-GB" sz="1050" baseline="0">
              <a:solidFill>
                <a:sysClr val="windowText" lastClr="000000"/>
              </a:solidFill>
              <a:latin typeface="+mn-lt"/>
              <a:ea typeface="Verdana" panose="020B0604030504040204" pitchFamily="34" charset="0"/>
            </a:rPr>
            <a:t>If you delete data, just use the </a:t>
          </a:r>
          <a:r>
            <a:rPr lang="en-GB" sz="1050" b="1" baseline="0">
              <a:solidFill>
                <a:sysClr val="windowText" lastClr="000000"/>
              </a:solidFill>
              <a:latin typeface="+mn-lt"/>
              <a:ea typeface="Verdana" panose="020B0604030504040204" pitchFamily="34" charset="0"/>
            </a:rPr>
            <a:t>Delete</a:t>
          </a:r>
          <a:r>
            <a:rPr lang="en-GB" sz="1050" baseline="0">
              <a:solidFill>
                <a:sysClr val="windowText" lastClr="000000"/>
              </a:solidFill>
              <a:latin typeface="+mn-lt"/>
              <a:ea typeface="Verdana" panose="020B0604030504040204" pitchFamily="34" charset="0"/>
            </a:rPr>
            <a:t> key.  Do not delete rows.</a:t>
          </a:r>
          <a:endParaRPr lang="en-GB" sz="1050">
            <a:solidFill>
              <a:sysClr val="windowText" lastClr="000000"/>
            </a:solidFill>
            <a:latin typeface="+mn-lt"/>
            <a:ea typeface="Verdana" panose="020B0604030504040204" pitchFamily="34" charset="0"/>
          </a:endParaRPr>
        </a:p>
        <a:p>
          <a:pPr algn="l"/>
          <a:endParaRPr lang="en-GB" sz="1000">
            <a:solidFill>
              <a:sysClr val="windowText" lastClr="000000"/>
            </a:solidFill>
            <a:latin typeface="Verdana" panose="020B0604030504040204" pitchFamily="34" charset="0"/>
            <a:ea typeface="Verdana" panose="020B0604030504040204" pitchFamily="34" charset="0"/>
          </a:endParaRPr>
        </a:p>
        <a:p>
          <a:pPr algn="l"/>
          <a:r>
            <a:rPr lang="en-GB" sz="1050">
              <a:solidFill>
                <a:sysClr val="windowText" lastClr="000000"/>
              </a:solidFill>
              <a:latin typeface="+mn-lt"/>
              <a:ea typeface="Verdana" panose="020B0604030504040204" pitchFamily="34" charset="0"/>
            </a:rPr>
            <a:t>Make sure that the data stays anonymous to comply with GDPR if this spreadsheet is being shared with people who do not need to know individual donation histories.</a:t>
          </a:r>
        </a:p>
      </xdr:txBody>
    </xdr:sp>
    <xdr:clientData/>
  </xdr:twoCellAnchor>
  <xdr:twoCellAnchor>
    <xdr:from>
      <xdr:col>1</xdr:col>
      <xdr:colOff>838200</xdr:colOff>
      <xdr:row>0</xdr:row>
      <xdr:rowOff>0</xdr:rowOff>
    </xdr:from>
    <xdr:to>
      <xdr:col>2</xdr:col>
      <xdr:colOff>409575</xdr:colOff>
      <xdr:row>0</xdr:row>
      <xdr:rowOff>285750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FB2D8846-A59D-4A37-86EB-46C5B82E2D00}"/>
            </a:ext>
            <a:ext uri="{147F2762-F138-4A5C-976F-8EAC2B608ADB}">
              <a16:predDERef xmlns:a16="http://schemas.microsoft.com/office/drawing/2014/main" pred="{4A5D2094-619D-4B12-9AB9-BD893B55E5A6}"/>
            </a:ext>
          </a:extLst>
        </xdr:cNvPr>
        <xdr:cNvSpPr/>
      </xdr:nvSpPr>
      <xdr:spPr>
        <a:xfrm>
          <a:off x="1123950" y="0"/>
          <a:ext cx="704850" cy="28575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2</xdr:col>
      <xdr:colOff>447675</xdr:colOff>
      <xdr:row>0</xdr:row>
      <xdr:rowOff>-19050</xdr:rowOff>
    </xdr:from>
    <xdr:to>
      <xdr:col>3</xdr:col>
      <xdr:colOff>66675</xdr:colOff>
      <xdr:row>1</xdr:row>
      <xdr:rowOff>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A1AF06C-5BCB-41C4-BB92-3F8A0D23B5F9}"/>
            </a:ext>
            <a:ext uri="{147F2762-F138-4A5C-976F-8EAC2B608ADB}">
              <a16:predDERef xmlns:a16="http://schemas.microsoft.com/office/drawing/2014/main" pred="{FB2D8846-A59D-4A37-86EB-46C5B82E2D00}"/>
            </a:ext>
          </a:extLst>
        </xdr:cNvPr>
        <xdr:cNvSpPr/>
      </xdr:nvSpPr>
      <xdr:spPr>
        <a:xfrm>
          <a:off x="1866900" y="-19050"/>
          <a:ext cx="752475" cy="314325"/>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0</xdr:colOff>
      <xdr:row>0</xdr:row>
      <xdr:rowOff>0</xdr:rowOff>
    </xdr:from>
    <xdr:to>
      <xdr:col>1</xdr:col>
      <xdr:colOff>792000</xdr:colOff>
      <xdr:row>0</xdr:row>
      <xdr:rowOff>281940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27548189-FB0E-459E-974D-2D531502120F}"/>
            </a:ext>
          </a:extLst>
        </xdr:cNvPr>
        <xdr:cNvSpPr/>
      </xdr:nvSpPr>
      <xdr:spPr>
        <a:xfrm>
          <a:off x="31242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175260</xdr:colOff>
      <xdr:row>3</xdr:row>
      <xdr:rowOff>45720</xdr:rowOff>
    </xdr:from>
    <xdr:to>
      <xdr:col>17</xdr:col>
      <xdr:colOff>1062720</xdr:colOff>
      <xdr:row>22</xdr:row>
      <xdr:rowOff>175260</xdr:rowOff>
    </xdr:to>
    <xdr:sp macro="" textlink="">
      <xdr:nvSpPr>
        <xdr:cNvPr id="2" name="Rectangle: Single Corner Snipped 1">
          <a:extLst>
            <a:ext uri="{FF2B5EF4-FFF2-40B4-BE49-F238E27FC236}">
              <a16:creationId xmlns:a16="http://schemas.microsoft.com/office/drawing/2014/main" id="{476E7F7C-254B-4513-8A77-2EB84296C5C7}"/>
            </a:ext>
          </a:extLst>
        </xdr:cNvPr>
        <xdr:cNvSpPr/>
      </xdr:nvSpPr>
      <xdr:spPr>
        <a:xfrm flipH="1">
          <a:off x="11894820" y="792480"/>
          <a:ext cx="3089640" cy="391668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a:t>
          </a:r>
        </a:p>
        <a:p>
          <a:pPr algn="l"/>
          <a:r>
            <a:rPr lang="en-GB" sz="1050">
              <a:solidFill>
                <a:sysClr val="windowText" lastClr="000000"/>
              </a:solidFill>
            </a:rPr>
            <a:t>The actuals from </a:t>
          </a:r>
          <a:r>
            <a:rPr lang="en-GB" sz="1050" b="1">
              <a:solidFill>
                <a:sysClr val="windowText" lastClr="000000"/>
              </a:solidFill>
            </a:rPr>
            <a:t>2a</a:t>
          </a:r>
          <a:r>
            <a:rPr lang="en-GB" sz="1050" b="1" baseline="0">
              <a:solidFill>
                <a:sysClr val="windowText" lastClr="000000"/>
              </a:solidFill>
            </a:rPr>
            <a:t> Finance</a:t>
          </a:r>
          <a:r>
            <a:rPr lang="en-GB" sz="1050" b="1">
              <a:solidFill>
                <a:sysClr val="windowText" lastClr="000000"/>
              </a:solidFill>
            </a:rPr>
            <a:t> History</a:t>
          </a:r>
          <a:r>
            <a:rPr lang="en-GB" sz="1050">
              <a:solidFill>
                <a:sysClr val="windowText" lastClr="000000"/>
              </a:solidFill>
            </a:rPr>
            <a:t> are repeated</a:t>
          </a:r>
          <a:r>
            <a:rPr lang="en-GB" sz="1050" baseline="0">
              <a:solidFill>
                <a:sysClr val="windowText" lastClr="000000"/>
              </a:solidFill>
            </a:rPr>
            <a:t> here, so that you can use them as a basis for budgeting</a:t>
          </a:r>
          <a:r>
            <a:rPr lang="en-GB" sz="1050">
              <a:solidFill>
                <a:sysClr val="windowText" lastClr="000000"/>
              </a:solidFill>
            </a:rPr>
            <a:t>.</a:t>
          </a:r>
        </a:p>
        <a:p>
          <a:pPr algn="l"/>
          <a:r>
            <a:rPr lang="en-GB" sz="1050">
              <a:solidFill>
                <a:sysClr val="windowText" lastClr="000000"/>
              </a:solidFill>
            </a:rPr>
            <a:t> </a:t>
          </a:r>
        </a:p>
        <a:p>
          <a:pPr algn="l"/>
          <a:r>
            <a:rPr lang="en-GB" sz="1050">
              <a:solidFill>
                <a:sysClr val="windowText" lastClr="000000"/>
              </a:solidFill>
            </a:rPr>
            <a:t>Use your knowledge of current and future plans to estimate the projected outcome for the current year, and planned numbers for next year.  This will tell you how much extra giving will be required.</a:t>
          </a:r>
        </a:p>
        <a:p>
          <a:pPr algn="l"/>
          <a:endParaRPr lang="en-GB" sz="1050">
            <a:solidFill>
              <a:sysClr val="windowText" lastClr="000000"/>
            </a:solidFill>
          </a:endParaRPr>
        </a:p>
        <a:p>
          <a:pPr algn="l"/>
          <a:r>
            <a:rPr lang="en-GB" sz="1050">
              <a:solidFill>
                <a:sysClr val="windowText" lastClr="000000"/>
              </a:solidFill>
            </a:rPr>
            <a:t>It doesn't have to be perfect, the goal is to understand how much additional giving is required to help balance the budget. </a:t>
          </a:r>
        </a:p>
        <a:p>
          <a:pPr algn="l"/>
          <a:endParaRPr lang="en-GB" sz="1050">
            <a:solidFill>
              <a:sysClr val="windowText" lastClr="000000"/>
            </a:solidFill>
          </a:endParaRPr>
        </a:p>
        <a:p>
          <a:pPr algn="l"/>
          <a:r>
            <a:rPr lang="en-GB" sz="1050">
              <a:solidFill>
                <a:sysClr val="windowText" lastClr="000000"/>
              </a:solidFill>
            </a:rPr>
            <a:t>In </a:t>
          </a:r>
          <a:r>
            <a:rPr lang="en-GB" sz="1050" b="1">
              <a:solidFill>
                <a:sysClr val="windowText" lastClr="000000"/>
              </a:solidFill>
            </a:rPr>
            <a:t>4 Print</a:t>
          </a:r>
          <a:r>
            <a:rPr lang="en-GB" sz="1050">
              <a:solidFill>
                <a:sysClr val="windowText" lastClr="000000"/>
              </a:solidFill>
            </a:rPr>
            <a:t> </a:t>
          </a:r>
          <a:r>
            <a:rPr lang="en-GB" sz="1050" b="1">
              <a:solidFill>
                <a:sysClr val="windowText" lastClr="000000"/>
              </a:solidFill>
            </a:rPr>
            <a:t>report</a:t>
          </a:r>
          <a:r>
            <a:rPr lang="en-GB" sz="1050">
              <a:solidFill>
                <a:sysClr val="windowText" lastClr="000000"/>
              </a:solidFill>
            </a:rPr>
            <a:t>, the budget will be summarised into</a:t>
          </a:r>
          <a:r>
            <a:rPr lang="en-GB" sz="1050" baseline="0">
              <a:solidFill>
                <a:sysClr val="windowText" lastClr="000000"/>
              </a:solidFill>
            </a:rPr>
            <a:t> broad categories.</a:t>
          </a:r>
          <a:endParaRPr lang="en-GB" sz="1050">
            <a:solidFill>
              <a:sysClr val="windowText" lastClr="000000"/>
            </a:solidFill>
          </a:endParaRPr>
        </a:p>
      </xdr:txBody>
    </xdr:sp>
    <xdr:clientData/>
  </xdr:twoCellAnchor>
  <xdr:twoCellAnchor>
    <xdr:from>
      <xdr:col>2</xdr:col>
      <xdr:colOff>632460</xdr:colOff>
      <xdr:row>0</xdr:row>
      <xdr:rowOff>0</xdr:rowOff>
    </xdr:from>
    <xdr:to>
      <xdr:col>2</xdr:col>
      <xdr:colOff>1424460</xdr:colOff>
      <xdr:row>0</xdr:row>
      <xdr:rowOff>281940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A9FAF2E3-BC95-4482-90C0-BDAF8D1A2CD1}"/>
            </a:ext>
          </a:extLst>
        </xdr:cNvPr>
        <xdr:cNvSpPr/>
      </xdr:nvSpPr>
      <xdr:spPr>
        <a:xfrm>
          <a:off x="115062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2</xdr:col>
      <xdr:colOff>1470660</xdr:colOff>
      <xdr:row>0</xdr:row>
      <xdr:rowOff>0</xdr:rowOff>
    </xdr:from>
    <xdr:to>
      <xdr:col>3</xdr:col>
      <xdr:colOff>784380</xdr:colOff>
      <xdr:row>0</xdr:row>
      <xdr:rowOff>281940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5C5EECC-6293-4B10-830A-5F25E8249EF4}"/>
            </a:ext>
          </a:extLst>
        </xdr:cNvPr>
        <xdr:cNvSpPr/>
      </xdr:nvSpPr>
      <xdr:spPr>
        <a:xfrm>
          <a:off x="198882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0</xdr:colOff>
      <xdr:row>0</xdr:row>
      <xdr:rowOff>0</xdr:rowOff>
    </xdr:from>
    <xdr:to>
      <xdr:col>2</xdr:col>
      <xdr:colOff>586260</xdr:colOff>
      <xdr:row>0</xdr:row>
      <xdr:rowOff>281940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B315A22A-9EFA-4750-A84D-6E2C3D149F3E}"/>
            </a:ext>
          </a:extLst>
        </xdr:cNvPr>
        <xdr:cNvSpPr/>
      </xdr:nvSpPr>
      <xdr:spPr>
        <a:xfrm>
          <a:off x="31242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342900</xdr:colOff>
      <xdr:row>3</xdr:row>
      <xdr:rowOff>15240</xdr:rowOff>
    </xdr:from>
    <xdr:to>
      <xdr:col>14</xdr:col>
      <xdr:colOff>595860</xdr:colOff>
      <xdr:row>16</xdr:row>
      <xdr:rowOff>91860</xdr:rowOff>
    </xdr:to>
    <xdr:sp macro="" textlink="">
      <xdr:nvSpPr>
        <xdr:cNvPr id="2" name="Rectangle: Single Corner Snipped 1">
          <a:extLst>
            <a:ext uri="{FF2B5EF4-FFF2-40B4-BE49-F238E27FC236}">
              <a16:creationId xmlns:a16="http://schemas.microsoft.com/office/drawing/2014/main" id="{F66D2250-27F2-4068-A0B9-EA8B77C21DE7}"/>
            </a:ext>
          </a:extLst>
        </xdr:cNvPr>
        <xdr:cNvSpPr/>
      </xdr:nvSpPr>
      <xdr:spPr>
        <a:xfrm flipH="1">
          <a:off x="5859780" y="586740"/>
          <a:ext cx="3240000" cy="273600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 for the automated gift array</a:t>
          </a:r>
        </a:p>
        <a:p>
          <a:pPr algn="l"/>
          <a:r>
            <a:rPr lang="en-GB" sz="1050">
              <a:solidFill>
                <a:sysClr val="windowText" lastClr="000000"/>
              </a:solidFill>
            </a:rPr>
            <a:t>Enter the number of </a:t>
          </a:r>
          <a:r>
            <a:rPr lang="en-GB" sz="1050" baseline="0">
              <a:solidFill>
                <a:sysClr val="windowText" lastClr="000000"/>
              </a:solidFill>
            </a:rPr>
            <a:t>people who you can ask to increase their giving (or new people to start giving). </a:t>
          </a:r>
          <a:endParaRPr lang="en-GB" sz="1050">
            <a:solidFill>
              <a:sysClr val="windowText" lastClr="000000"/>
            </a:solidFill>
          </a:endParaRPr>
        </a:p>
        <a:p>
          <a:pPr algn="l"/>
          <a:endParaRPr lang="en-GB" sz="1050">
            <a:solidFill>
              <a:sysClr val="windowText" lastClr="000000"/>
            </a:solidFill>
          </a:endParaRPr>
        </a:p>
        <a:p>
          <a:pPr algn="l"/>
          <a:r>
            <a:rPr lang="en-GB" sz="1050">
              <a:solidFill>
                <a:sysClr val="windowText" lastClr="000000"/>
              </a:solidFill>
            </a:rPr>
            <a:t>Excel will create an automatic array (or ladder) of potential gift increases showing a range of different</a:t>
          </a:r>
          <a:r>
            <a:rPr lang="en-GB" sz="1050" baseline="0">
              <a:solidFill>
                <a:sysClr val="windowText" lastClr="000000"/>
              </a:solidFill>
            </a:rPr>
            <a:t> uplifts</a:t>
          </a:r>
          <a:r>
            <a:rPr lang="en-GB" sz="1050">
              <a:solidFill>
                <a:sysClr val="windowText" lastClr="000000"/>
              </a:solidFill>
            </a:rPr>
            <a:t>, and how many people must agree to each level to cover our weekly shortfall. </a:t>
          </a:r>
        </a:p>
        <a:p>
          <a:pPr algn="l"/>
          <a:endParaRPr lang="en-GB" sz="1050">
            <a:solidFill>
              <a:sysClr val="windowText" lastClr="000000"/>
            </a:solidFill>
          </a:endParaRPr>
        </a:p>
        <a:p>
          <a:pPr algn="l"/>
          <a:r>
            <a:rPr lang="en-GB" sz="1050">
              <a:solidFill>
                <a:sysClr val="windowText" lastClr="000000"/>
              </a:solidFill>
            </a:rPr>
            <a:t>Read the table as a whole, where some people will increase their giving by the</a:t>
          </a:r>
          <a:r>
            <a:rPr lang="en-GB" sz="1050" baseline="0">
              <a:solidFill>
                <a:sysClr val="windowText" lastClr="000000"/>
              </a:solidFill>
            </a:rPr>
            <a:t> smallest amount</a:t>
          </a:r>
          <a:r>
            <a:rPr lang="en-GB" sz="1050">
              <a:solidFill>
                <a:sysClr val="windowText" lastClr="000000"/>
              </a:solidFill>
            </a:rPr>
            <a:t> and others by far more, and decide whether it is realistic that enough people will agree.</a:t>
          </a:r>
        </a:p>
        <a:p>
          <a:pPr algn="l"/>
          <a:endParaRPr lang="en-GB" sz="1050">
            <a:solidFill>
              <a:sysClr val="windowText" lastClr="000000"/>
            </a:solidFill>
          </a:endParaRPr>
        </a:p>
      </xdr:txBody>
    </xdr:sp>
    <xdr:clientData/>
  </xdr:twoCellAnchor>
  <xdr:twoCellAnchor>
    <xdr:from>
      <xdr:col>10</xdr:col>
      <xdr:colOff>333375</xdr:colOff>
      <xdr:row>19</xdr:row>
      <xdr:rowOff>0</xdr:rowOff>
    </xdr:from>
    <xdr:to>
      <xdr:col>14</xdr:col>
      <xdr:colOff>590550</xdr:colOff>
      <xdr:row>36</xdr:row>
      <xdr:rowOff>47625</xdr:rowOff>
    </xdr:to>
    <xdr:sp macro="" textlink="">
      <xdr:nvSpPr>
        <xdr:cNvPr id="4" name="Rectangle: Single Corner Snipped 2">
          <a:extLst>
            <a:ext uri="{FF2B5EF4-FFF2-40B4-BE49-F238E27FC236}">
              <a16:creationId xmlns:a16="http://schemas.microsoft.com/office/drawing/2014/main" id="{020A3899-B7BB-41AA-B192-F99BC353763A}"/>
            </a:ext>
            <a:ext uri="{147F2762-F138-4A5C-976F-8EAC2B608ADB}">
              <a16:predDERef xmlns:a16="http://schemas.microsoft.com/office/drawing/2014/main" pred="{F66D2250-27F2-4068-A0B9-EA8B77C21DE7}"/>
            </a:ext>
          </a:extLst>
        </xdr:cNvPr>
        <xdr:cNvSpPr/>
      </xdr:nvSpPr>
      <xdr:spPr>
        <a:xfrm flipH="1">
          <a:off x="5591175" y="4057650"/>
          <a:ext cx="2962275" cy="3095625"/>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Guidance for the manual gift array</a:t>
          </a:r>
        </a:p>
        <a:p>
          <a:pPr algn="l"/>
          <a:r>
            <a:rPr lang="en-GB" sz="1050">
              <a:solidFill>
                <a:sysClr val="windowText" lastClr="000000"/>
              </a:solidFill>
            </a:rPr>
            <a:t>If the automatic array does not</a:t>
          </a:r>
          <a:r>
            <a:rPr lang="en-GB" sz="1050" baseline="0">
              <a:solidFill>
                <a:sysClr val="windowText" lastClr="000000"/>
              </a:solidFill>
            </a:rPr>
            <a:t> look achievable</a:t>
          </a:r>
          <a:r>
            <a:rPr lang="en-GB" sz="1050">
              <a:solidFill>
                <a:sysClr val="windowText" lastClr="000000"/>
              </a:solidFill>
            </a:rPr>
            <a:t>, use this manual version to adjust the model yourself.</a:t>
          </a:r>
        </a:p>
        <a:p>
          <a:pPr algn="l"/>
          <a:endParaRPr lang="en-GB" sz="1050">
            <a:solidFill>
              <a:sysClr val="windowText" lastClr="000000"/>
            </a:solidFill>
          </a:endParaRPr>
        </a:p>
        <a:p>
          <a:pPr algn="l"/>
          <a:r>
            <a:rPr lang="en-GB" sz="1050">
              <a:solidFill>
                <a:sysClr val="windowText" lastClr="000000"/>
              </a:solidFill>
            </a:rPr>
            <a:t>Start by copying the numbers</a:t>
          </a:r>
          <a:r>
            <a:rPr lang="en-GB" sz="1050" baseline="0">
              <a:solidFill>
                <a:sysClr val="windowText" lastClr="000000"/>
              </a:solidFill>
            </a:rPr>
            <a:t> from the automatic gift array to get a feel for it.</a:t>
          </a:r>
        </a:p>
        <a:p>
          <a:pPr algn="l"/>
          <a:endParaRPr lang="en-GB" sz="1050" baseline="0">
            <a:solidFill>
              <a:sysClr val="windowText" lastClr="000000"/>
            </a:solidFill>
          </a:endParaRPr>
        </a:p>
        <a:p>
          <a:pPr algn="l"/>
          <a:r>
            <a:rPr lang="en-GB" sz="1050" baseline="0">
              <a:solidFill>
                <a:sysClr val="windowText" lastClr="000000"/>
              </a:solidFill>
            </a:rPr>
            <a:t>Then adjust</a:t>
          </a:r>
          <a:r>
            <a:rPr lang="en-GB" sz="1050">
              <a:solidFill>
                <a:sysClr val="windowText" lastClr="000000"/>
              </a:solidFill>
            </a:rPr>
            <a:t> the number of people and/or the weekly giving increases</a:t>
          </a:r>
          <a:r>
            <a:rPr lang="en-GB" sz="1050" baseline="0">
              <a:solidFill>
                <a:sysClr val="windowText" lastClr="000000"/>
              </a:solidFill>
            </a:rPr>
            <a:t> to see how you can meet the target.</a:t>
          </a:r>
        </a:p>
        <a:p>
          <a:pPr algn="l"/>
          <a:endParaRPr lang="en-GB" sz="1050" baseline="0">
            <a:solidFill>
              <a:sysClr val="windowText" lastClr="000000"/>
            </a:solidFill>
          </a:endParaRPr>
        </a:p>
        <a:p>
          <a:pPr algn="l"/>
          <a:r>
            <a:rPr lang="en-GB" sz="1050" baseline="0">
              <a:solidFill>
                <a:sysClr val="windowText" lastClr="000000"/>
              </a:solidFill>
            </a:rPr>
            <a:t>Choose whether you want to replace the automatic array in the report with your manual one.</a:t>
          </a:r>
          <a:endParaRPr lang="en-GB" sz="1050">
            <a:solidFill>
              <a:sysClr val="windowText" lastClr="000000"/>
            </a:solidFill>
          </a:endParaRPr>
        </a:p>
      </xdr:txBody>
    </xdr:sp>
    <xdr:clientData/>
  </xdr:twoCellAnchor>
  <xdr:twoCellAnchor>
    <xdr:from>
      <xdr:col>1</xdr:col>
      <xdr:colOff>838200</xdr:colOff>
      <xdr:row>0</xdr:row>
      <xdr:rowOff>0</xdr:rowOff>
    </xdr:from>
    <xdr:to>
      <xdr:col>2</xdr:col>
      <xdr:colOff>495300</xdr:colOff>
      <xdr:row>0</xdr:row>
      <xdr:rowOff>285750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3461A680-81D3-427C-A8A9-D44E7E1585BB}"/>
            </a:ext>
            <a:ext uri="{147F2762-F138-4A5C-976F-8EAC2B608ADB}">
              <a16:predDERef xmlns:a16="http://schemas.microsoft.com/office/drawing/2014/main" pred="{020A3899-B7BB-41AA-B192-F99BC353763A}"/>
            </a:ext>
          </a:extLst>
        </xdr:cNvPr>
        <xdr:cNvSpPr/>
      </xdr:nvSpPr>
      <xdr:spPr>
        <a:xfrm>
          <a:off x="1123950" y="0"/>
          <a:ext cx="742950" cy="28575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2</xdr:col>
      <xdr:colOff>518160</xdr:colOff>
      <xdr:row>0</xdr:row>
      <xdr:rowOff>9525</xdr:rowOff>
    </xdr:from>
    <xdr:to>
      <xdr:col>3</xdr:col>
      <xdr:colOff>723420</xdr:colOff>
      <xdr:row>0</xdr:row>
      <xdr:rowOff>291465</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A0870EC3-945B-410E-BEF4-791B857EDB51}"/>
            </a:ext>
            <a:ext uri="{147F2762-F138-4A5C-976F-8EAC2B608ADB}">
              <a16:predDERef xmlns:a16="http://schemas.microsoft.com/office/drawing/2014/main" pred="{3461A680-81D3-427C-A8A9-D44E7E1585BB}"/>
            </a:ext>
          </a:extLst>
        </xdr:cNvPr>
        <xdr:cNvSpPr/>
      </xdr:nvSpPr>
      <xdr:spPr>
        <a:xfrm>
          <a:off x="1889760" y="9525"/>
          <a:ext cx="73866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0</xdr:colOff>
      <xdr:row>0</xdr:row>
      <xdr:rowOff>0</xdr:rowOff>
    </xdr:from>
    <xdr:to>
      <xdr:col>1</xdr:col>
      <xdr:colOff>792000</xdr:colOff>
      <xdr:row>0</xdr:row>
      <xdr:rowOff>281940</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930CF92F-8CEF-4DAF-8D60-EC60A77CA025}"/>
            </a:ext>
          </a:extLst>
        </xdr:cNvPr>
        <xdr:cNvSpPr/>
      </xdr:nvSpPr>
      <xdr:spPr>
        <a:xfrm>
          <a:off x="31242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167640</xdr:colOff>
      <xdr:row>62</xdr:row>
      <xdr:rowOff>121920</xdr:rowOff>
    </xdr:from>
    <xdr:to>
      <xdr:col>13</xdr:col>
      <xdr:colOff>701040</xdr:colOff>
      <xdr:row>79</xdr:row>
      <xdr:rowOff>15240</xdr:rowOff>
    </xdr:to>
    <xdr:graphicFrame macro="">
      <xdr:nvGraphicFramePr>
        <xdr:cNvPr id="3" name="Chart 2">
          <a:extLst>
            <a:ext uri="{FF2B5EF4-FFF2-40B4-BE49-F238E27FC236}">
              <a16:creationId xmlns:a16="http://schemas.microsoft.com/office/drawing/2014/main" id="{93CB85D5-DFFB-D0B2-80A9-357F8F123A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190500</xdr:colOff>
      <xdr:row>13</xdr:row>
      <xdr:rowOff>22860</xdr:rowOff>
    </xdr:from>
    <xdr:to>
      <xdr:col>7</xdr:col>
      <xdr:colOff>561480</xdr:colOff>
      <xdr:row>13</xdr:row>
      <xdr:rowOff>2902860</xdr:rowOff>
    </xdr:to>
    <xdr:graphicFrame macro="">
      <xdr:nvGraphicFramePr>
        <xdr:cNvPr id="2" name="Chart 1" descr="Bar graph comparing income and expenditure for the 3 years of finance history">
          <a:extLst>
            <a:ext uri="{FF2B5EF4-FFF2-40B4-BE49-F238E27FC236}">
              <a16:creationId xmlns:a16="http://schemas.microsoft.com/office/drawing/2014/main" id="{BC606CFD-AC5E-4649-AA13-FA7774107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190500</xdr:colOff>
      <xdr:row>14</xdr:row>
      <xdr:rowOff>83820</xdr:rowOff>
    </xdr:from>
    <xdr:to>
      <xdr:col>7</xdr:col>
      <xdr:colOff>561480</xdr:colOff>
      <xdr:row>14</xdr:row>
      <xdr:rowOff>2603820</xdr:rowOff>
    </xdr:to>
    <xdr:graphicFrame macro="">
      <xdr:nvGraphicFramePr>
        <xdr:cNvPr id="3" name="Chart 2" descr="Bar graph showing the surplus or deficit for each of the 3 years in the finance history">
          <a:extLst>
            <a:ext uri="{FF2B5EF4-FFF2-40B4-BE49-F238E27FC236}">
              <a16:creationId xmlns:a16="http://schemas.microsoft.com/office/drawing/2014/main" id="{400F23D9-AD82-45A8-ABE2-2C85285DBE2D}"/>
            </a:ext>
            <a:ext uri="{147F2762-F138-4A5C-976F-8EAC2B608ADB}">
              <a16:predDERef xmlns:a16="http://schemas.microsoft.com/office/drawing/2014/main" pred="{77EDAE66-9856-75BD-E8E5-2BC08A07D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99060</xdr:colOff>
      <xdr:row>21</xdr:row>
      <xdr:rowOff>76200</xdr:rowOff>
    </xdr:from>
    <xdr:to>
      <xdr:col>7</xdr:col>
      <xdr:colOff>470040</xdr:colOff>
      <xdr:row>21</xdr:row>
      <xdr:rowOff>2956200</xdr:rowOff>
    </xdr:to>
    <xdr:graphicFrame macro="">
      <xdr:nvGraphicFramePr>
        <xdr:cNvPr id="4" name="Chart 3" descr="Stacked bar graph showing unrestricted and restricted cash asset reserves for each of the 3 years in the finance history">
          <a:extLst>
            <a:ext uri="{FF2B5EF4-FFF2-40B4-BE49-F238E27FC236}">
              <a16:creationId xmlns:a16="http://schemas.microsoft.com/office/drawing/2014/main" id="{EBD04172-002B-4C58-9A61-483396C9A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33</xdr:row>
      <xdr:rowOff>45720</xdr:rowOff>
    </xdr:from>
    <xdr:to>
      <xdr:col>8</xdr:col>
      <xdr:colOff>532680</xdr:colOff>
      <xdr:row>33</xdr:row>
      <xdr:rowOff>3285720</xdr:rowOff>
    </xdr:to>
    <xdr:graphicFrame macro="">
      <xdr:nvGraphicFramePr>
        <xdr:cNvPr id="5" name="Chart 4" descr="Stacked bar graph showing the number of people for each size band of gift, along with whether they can claim Gift Aid or not">
          <a:extLst>
            <a:ext uri="{FF2B5EF4-FFF2-40B4-BE49-F238E27FC236}">
              <a16:creationId xmlns:a16="http://schemas.microsoft.com/office/drawing/2014/main" id="{79B7F3A6-FC99-49DC-AC22-69E2EF02B4C2}"/>
            </a:ext>
            <a:ext uri="{147F2762-F138-4A5C-976F-8EAC2B608ADB}">
              <a16:predDERef xmlns:a16="http://schemas.microsoft.com/office/drawing/2014/main" pred="{35717DB4-826F-44DC-AB46-BE1FF7A95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xdr:colOff>
      <xdr:row>39</xdr:row>
      <xdr:rowOff>137160</xdr:rowOff>
    </xdr:from>
    <xdr:to>
      <xdr:col>8</xdr:col>
      <xdr:colOff>691680</xdr:colOff>
      <xdr:row>39</xdr:row>
      <xdr:rowOff>3307080</xdr:rowOff>
    </xdr:to>
    <xdr:graphicFrame macro="">
      <xdr:nvGraphicFramePr>
        <xdr:cNvPr id="6" name="Chart 5" descr="A line chart demonstrating how dependent we are on a few larger gifts.  If 5% or 10% on the horizontal axis reaches 20% or 30% on the vertical axis, we are vulnerable">
          <a:extLst>
            <a:ext uri="{FF2B5EF4-FFF2-40B4-BE49-F238E27FC236}">
              <a16:creationId xmlns:a16="http://schemas.microsoft.com/office/drawing/2014/main" id="{E49055EC-38EF-4BC4-A290-E7F5C3A4E619}"/>
            </a:ext>
            <a:ext uri="{147F2762-F138-4A5C-976F-8EAC2B608ADB}">
              <a16:predDERef xmlns:a16="http://schemas.microsoft.com/office/drawing/2014/main" pred="{DC2C58C6-E3EE-496B-A985-55DCABCBD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34</xdr:row>
      <xdr:rowOff>40640</xdr:rowOff>
    </xdr:from>
    <xdr:to>
      <xdr:col>4</xdr:col>
      <xdr:colOff>365400</xdr:colOff>
      <xdr:row>34</xdr:row>
      <xdr:rowOff>3290454</xdr:rowOff>
    </xdr:to>
    <xdr:graphicFrame macro="">
      <xdr:nvGraphicFramePr>
        <xdr:cNvPr id="7" name="Chart 6" descr="Stacked bar graph showing the spread of gifts by giving method, along with whether they can be Gift Aided or not.">
          <a:extLst>
            <a:ext uri="{FF2B5EF4-FFF2-40B4-BE49-F238E27FC236}">
              <a16:creationId xmlns:a16="http://schemas.microsoft.com/office/drawing/2014/main" id="{91C59436-5E3A-463C-8EB2-1CB0D29ED4C3}"/>
            </a:ext>
            <a:ext uri="{147F2762-F138-4A5C-976F-8EAC2B608ADB}">
              <a16:predDERef xmlns:a16="http://schemas.microsoft.com/office/drawing/2014/main" pred="{E49055EC-38EF-4BC4-A290-E7F5C3A4E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408940</xdr:colOff>
      <xdr:row>34</xdr:row>
      <xdr:rowOff>40640</xdr:rowOff>
    </xdr:from>
    <xdr:to>
      <xdr:col>8</xdr:col>
      <xdr:colOff>516580</xdr:colOff>
      <xdr:row>34</xdr:row>
      <xdr:rowOff>3290454</xdr:rowOff>
    </xdr:to>
    <xdr:graphicFrame macro="">
      <xdr:nvGraphicFramePr>
        <xdr:cNvPr id="8" name="Chart 7" descr="Pie chart showing the proportion of giving by each giving method">
          <a:extLst>
            <a:ext uri="{FF2B5EF4-FFF2-40B4-BE49-F238E27FC236}">
              <a16:creationId xmlns:a16="http://schemas.microsoft.com/office/drawing/2014/main" id="{3B56C94F-D302-4302-AC39-6B5B40817F59}"/>
            </a:ext>
            <a:ext uri="{147F2762-F138-4A5C-976F-8EAC2B608ADB}">
              <a16:predDERef xmlns:a16="http://schemas.microsoft.com/office/drawing/2014/main" pred="{33DB8B4C-6DC9-465A-8E46-66A2391D6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739140</xdr:colOff>
      <xdr:row>50</xdr:row>
      <xdr:rowOff>22860</xdr:rowOff>
    </xdr:from>
    <xdr:to>
      <xdr:col>9</xdr:col>
      <xdr:colOff>0</xdr:colOff>
      <xdr:row>50</xdr:row>
      <xdr:rowOff>4442460</xdr:rowOff>
    </xdr:to>
    <xdr:graphicFrame macro="">
      <xdr:nvGraphicFramePr>
        <xdr:cNvPr id="11" name="Chart 10" descr="Pie chart showing the expenditure categories in the budget">
          <a:extLst>
            <a:ext uri="{FF2B5EF4-FFF2-40B4-BE49-F238E27FC236}">
              <a16:creationId xmlns:a16="http://schemas.microsoft.com/office/drawing/2014/main" id="{D3087A71-06F3-4621-868C-B21C9FA36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156210</xdr:colOff>
      <xdr:row>50</xdr:row>
      <xdr:rowOff>15240</xdr:rowOff>
    </xdr:from>
    <xdr:to>
      <xdr:col>4</xdr:col>
      <xdr:colOff>640080</xdr:colOff>
      <xdr:row>50</xdr:row>
      <xdr:rowOff>4450080</xdr:rowOff>
    </xdr:to>
    <xdr:graphicFrame macro="">
      <xdr:nvGraphicFramePr>
        <xdr:cNvPr id="12" name="Chart 11" descr="Pie chart showing the categories of income in the budget">
          <a:extLst>
            <a:ext uri="{FF2B5EF4-FFF2-40B4-BE49-F238E27FC236}">
              <a16:creationId xmlns:a16="http://schemas.microsoft.com/office/drawing/2014/main" id="{19D7F131-BD32-4E57-A590-537DE0C39D4C}"/>
            </a:ext>
            <a:ext uri="{147F2762-F138-4A5C-976F-8EAC2B608ADB}">
              <a16:predDERef xmlns:a16="http://schemas.microsoft.com/office/drawing/2014/main" pred="{FD1064BA-E8D1-4A22-B8D8-98941D24F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236220</xdr:colOff>
      <xdr:row>1</xdr:row>
      <xdr:rowOff>236220</xdr:rowOff>
    </xdr:from>
    <xdr:to>
      <xdr:col>14</xdr:col>
      <xdr:colOff>664440</xdr:colOff>
      <xdr:row>13</xdr:row>
      <xdr:rowOff>69000</xdr:rowOff>
    </xdr:to>
    <xdr:sp macro="" textlink="">
      <xdr:nvSpPr>
        <xdr:cNvPr id="9" name="Rectangle: Single Corner Snipped 8">
          <a:extLst>
            <a:ext uri="{FF2B5EF4-FFF2-40B4-BE49-F238E27FC236}">
              <a16:creationId xmlns:a16="http://schemas.microsoft.com/office/drawing/2014/main" id="{44EFEE3C-F0E2-45BD-9EA7-9C18189F1584}"/>
            </a:ext>
          </a:extLst>
        </xdr:cNvPr>
        <xdr:cNvSpPr/>
      </xdr:nvSpPr>
      <xdr:spPr>
        <a:xfrm flipH="1">
          <a:off x="7200900" y="533400"/>
          <a:ext cx="3354300" cy="2545500"/>
        </a:xfrm>
        <a:prstGeom prst="snip1Rect">
          <a:avLst/>
        </a:prstGeom>
        <a:solidFill>
          <a:srgbClr val="FFF7D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050" b="1" u="sng">
              <a:solidFill>
                <a:sysClr val="windowText" lastClr="000000"/>
              </a:solidFill>
            </a:rPr>
            <a:t>Export and printing</a:t>
          </a:r>
          <a:r>
            <a:rPr lang="en-GB" sz="1050" b="1" u="sng" baseline="0">
              <a:solidFill>
                <a:sysClr val="windowText" lastClr="000000"/>
              </a:solidFill>
            </a:rPr>
            <a:t> guidance</a:t>
          </a:r>
          <a:endParaRPr lang="en-GB" sz="1050" b="1" u="sng">
            <a:solidFill>
              <a:sysClr val="windowText" lastClr="000000"/>
            </a:solidFill>
          </a:endParaRPr>
        </a:p>
        <a:p>
          <a:pPr algn="l"/>
          <a:r>
            <a:rPr lang="en-GB" sz="1050">
              <a:solidFill>
                <a:sysClr val="windowText" lastClr="000000"/>
              </a:solidFill>
            </a:rPr>
            <a:t>This tab is formatted to export as an A4 multi-page pdf document.</a:t>
          </a:r>
        </a:p>
        <a:p>
          <a:pPr algn="l"/>
          <a:endParaRPr lang="en-GB" sz="1050">
            <a:solidFill>
              <a:sysClr val="windowText" lastClr="000000"/>
            </a:solidFill>
          </a:endParaRPr>
        </a:p>
        <a:p>
          <a:pPr algn="l"/>
          <a:r>
            <a:rPr lang="en-GB" sz="1050">
              <a:solidFill>
                <a:sysClr val="windowText" lastClr="000000"/>
              </a:solidFill>
            </a:rPr>
            <a:t>To export it as a pdf for emailing, click </a:t>
          </a:r>
          <a:r>
            <a:rPr lang="en-GB" sz="1050" b="1">
              <a:solidFill>
                <a:sysClr val="windowText" lastClr="000000"/>
              </a:solidFill>
            </a:rPr>
            <a:t>File &gt; Export &gt; Create PDF Document </a:t>
          </a:r>
          <a:r>
            <a:rPr lang="en-GB" sz="1050" b="0">
              <a:solidFill>
                <a:sysClr val="windowText" lastClr="000000"/>
              </a:solidFill>
            </a:rPr>
            <a:t>(or </a:t>
          </a:r>
          <a:r>
            <a:rPr lang="en-GB" sz="1050" b="1">
              <a:solidFill>
                <a:sysClr val="windowText" lastClr="000000"/>
              </a:solidFill>
            </a:rPr>
            <a:t>Download as PDF</a:t>
          </a:r>
          <a:r>
            <a:rPr lang="en-GB" sz="1050" b="0">
              <a:solidFill>
                <a:sysClr val="windowText" lastClr="000000"/>
              </a:solidFill>
            </a:rPr>
            <a:t>)</a:t>
          </a:r>
          <a:r>
            <a:rPr lang="en-GB" sz="1050">
              <a:solidFill>
                <a:sysClr val="windowText" lastClr="000000"/>
              </a:solidFill>
            </a:rPr>
            <a:t>.</a:t>
          </a:r>
        </a:p>
        <a:p>
          <a:pPr algn="l"/>
          <a:endParaRPr lang="en-GB" sz="1050">
            <a:solidFill>
              <a:sysClr val="windowText" lastClr="000000"/>
            </a:solidFill>
          </a:endParaRPr>
        </a:p>
        <a:p>
          <a:pPr algn="l"/>
          <a:r>
            <a:rPr lang="en-GB" sz="1050">
              <a:solidFill>
                <a:sysClr val="windowText" lastClr="000000"/>
              </a:solidFill>
            </a:rPr>
            <a:t>To print it for distributing as hard copy, click </a:t>
          </a:r>
          <a:r>
            <a:rPr lang="en-GB" sz="1050" b="1">
              <a:solidFill>
                <a:sysClr val="windowText" lastClr="000000"/>
              </a:solidFill>
            </a:rPr>
            <a:t>File &gt; Print</a:t>
          </a:r>
          <a:r>
            <a:rPr lang="en-GB" sz="1050">
              <a:solidFill>
                <a:sysClr val="windowText" lastClr="000000"/>
              </a:solidFill>
            </a:rPr>
            <a:t> and select your printer.</a:t>
          </a:r>
        </a:p>
        <a:p>
          <a:pPr algn="l"/>
          <a:endParaRPr lang="en-GB" sz="1050">
            <a:solidFill>
              <a:sysClr val="windowText" lastClr="000000"/>
            </a:solidFill>
          </a:endParaRPr>
        </a:p>
        <a:p>
          <a:pPr algn="l"/>
          <a:r>
            <a:rPr lang="en-GB" sz="1050">
              <a:solidFill>
                <a:sysClr val="windowText" lastClr="000000"/>
              </a:solidFill>
            </a:rPr>
            <a:t>These instructions will not be included in the final report.</a:t>
          </a:r>
        </a:p>
      </xdr:txBody>
    </xdr:sp>
    <xdr:clientData/>
  </xdr:twoCellAnchor>
  <xdr:twoCellAnchor>
    <xdr:from>
      <xdr:col>11</xdr:col>
      <xdr:colOff>106680</xdr:colOff>
      <xdr:row>0</xdr:row>
      <xdr:rowOff>0</xdr:rowOff>
    </xdr:from>
    <xdr:to>
      <xdr:col>12</xdr:col>
      <xdr:colOff>167160</xdr:colOff>
      <xdr:row>0</xdr:row>
      <xdr:rowOff>281940</xdr:rowOff>
    </xdr:to>
    <xdr:sp macro="" textlink="">
      <xdr:nvSpPr>
        <xdr:cNvPr id="10" name="Rectangle: Rounded Corners 9">
          <a:hlinkClick xmlns:r="http://schemas.openxmlformats.org/officeDocument/2006/relationships" r:id="rId10"/>
          <a:extLst>
            <a:ext uri="{FF2B5EF4-FFF2-40B4-BE49-F238E27FC236}">
              <a16:creationId xmlns:a16="http://schemas.microsoft.com/office/drawing/2014/main" id="{07A3DDB5-3BA0-4B70-986C-CA46FFCFCA32}"/>
            </a:ext>
          </a:extLst>
        </xdr:cNvPr>
        <xdr:cNvSpPr/>
      </xdr:nvSpPr>
      <xdr:spPr>
        <a:xfrm>
          <a:off x="780288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12</xdr:col>
      <xdr:colOff>213360</xdr:colOff>
      <xdr:row>0</xdr:row>
      <xdr:rowOff>0</xdr:rowOff>
    </xdr:from>
    <xdr:to>
      <xdr:col>13</xdr:col>
      <xdr:colOff>273840</xdr:colOff>
      <xdr:row>0</xdr:row>
      <xdr:rowOff>281940</xdr:rowOff>
    </xdr:to>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6F1DDF10-B887-41DF-ABBC-E7BEFCE6EDBC}"/>
            </a:ext>
          </a:extLst>
        </xdr:cNvPr>
        <xdr:cNvSpPr/>
      </xdr:nvSpPr>
      <xdr:spPr>
        <a:xfrm>
          <a:off x="864108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10</xdr:col>
      <xdr:colOff>0</xdr:colOff>
      <xdr:row>0</xdr:row>
      <xdr:rowOff>0</xdr:rowOff>
    </xdr:from>
    <xdr:to>
      <xdr:col>11</xdr:col>
      <xdr:colOff>60480</xdr:colOff>
      <xdr:row>0</xdr:row>
      <xdr:rowOff>281940</xdr:rowOff>
    </xdr:to>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C8055B8B-D855-42B2-BEAA-5DC394185D03}"/>
            </a:ext>
          </a:extLst>
        </xdr:cNvPr>
        <xdr:cNvSpPr/>
      </xdr:nvSpPr>
      <xdr:spPr>
        <a:xfrm>
          <a:off x="696468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281977</xdr:colOff>
      <xdr:row>15</xdr:row>
      <xdr:rowOff>198185</xdr:rowOff>
    </xdr:from>
    <xdr:to>
      <xdr:col>9</xdr:col>
      <xdr:colOff>480742</xdr:colOff>
      <xdr:row>18</xdr:row>
      <xdr:rowOff>1925</xdr:rowOff>
    </xdr:to>
    <xdr:pic>
      <xdr:nvPicPr>
        <xdr:cNvPr id="2" name="Picture 1">
          <a:extLst>
            <a:ext uri="{FF2B5EF4-FFF2-40B4-BE49-F238E27FC236}">
              <a16:creationId xmlns:a16="http://schemas.microsoft.com/office/drawing/2014/main" id="{AD780FB3-CCBC-8815-4A4D-E5101CE4CC34}"/>
            </a:ext>
          </a:extLst>
        </xdr:cNvPr>
        <xdr:cNvPicPr>
          <a:picLocks noChangeAspect="1"/>
        </xdr:cNvPicPr>
      </xdr:nvPicPr>
      <xdr:blipFill>
        <a:blip xmlns:r="http://schemas.openxmlformats.org/officeDocument/2006/relationships" r:embed="rId1"/>
        <a:stretch>
          <a:fillRect/>
        </a:stretch>
      </xdr:blipFill>
      <xdr:spPr>
        <a:xfrm>
          <a:off x="4038637" y="3436685"/>
          <a:ext cx="2463175" cy="360000"/>
        </a:xfrm>
        <a:prstGeom prst="rect">
          <a:avLst/>
        </a:prstGeom>
        <a:ln>
          <a:solidFill>
            <a:schemeClr val="accent1">
              <a:lumMod val="50000"/>
            </a:schemeClr>
          </a:solidFill>
        </a:ln>
      </xdr:spPr>
    </xdr:pic>
    <xdr:clientData/>
  </xdr:twoCellAnchor>
  <xdr:twoCellAnchor editAs="oneCell">
    <xdr:from>
      <xdr:col>13</xdr:col>
      <xdr:colOff>91440</xdr:colOff>
      <xdr:row>12</xdr:row>
      <xdr:rowOff>53338</xdr:rowOff>
    </xdr:from>
    <xdr:to>
      <xdr:col>16</xdr:col>
      <xdr:colOff>569280</xdr:colOff>
      <xdr:row>14</xdr:row>
      <xdr:rowOff>97669</xdr:rowOff>
    </xdr:to>
    <xdr:pic>
      <xdr:nvPicPr>
        <xdr:cNvPr id="3" name="Picture 2">
          <a:extLst>
            <a:ext uri="{FF2B5EF4-FFF2-40B4-BE49-F238E27FC236}">
              <a16:creationId xmlns:a16="http://schemas.microsoft.com/office/drawing/2014/main" id="{06460319-9118-EA31-5D26-4B13F061F69C}"/>
            </a:ext>
          </a:extLst>
        </xdr:cNvPr>
        <xdr:cNvPicPr>
          <a:picLocks noChangeAspect="1"/>
        </xdr:cNvPicPr>
      </xdr:nvPicPr>
      <xdr:blipFill rotWithShape="1">
        <a:blip xmlns:r="http://schemas.openxmlformats.org/officeDocument/2006/relationships" r:embed="rId2"/>
        <a:srcRect l="34647" r="-1" b="-1985"/>
        <a:stretch/>
      </xdr:blipFill>
      <xdr:spPr>
        <a:xfrm>
          <a:off x="7696200" y="2727958"/>
          <a:ext cx="2520000" cy="429141"/>
        </a:xfrm>
        <a:prstGeom prst="rect">
          <a:avLst/>
        </a:prstGeom>
        <a:ln>
          <a:solidFill>
            <a:schemeClr val="accent1">
              <a:lumMod val="50000"/>
            </a:schemeClr>
          </a:solidFill>
        </a:ln>
      </xdr:spPr>
    </xdr:pic>
    <xdr:clientData/>
  </xdr:twoCellAnchor>
  <xdr:twoCellAnchor>
    <xdr:from>
      <xdr:col>2</xdr:col>
      <xdr:colOff>0</xdr:colOff>
      <xdr:row>0</xdr:row>
      <xdr:rowOff>0</xdr:rowOff>
    </xdr:from>
    <xdr:to>
      <xdr:col>3</xdr:col>
      <xdr:colOff>238125</xdr:colOff>
      <xdr:row>0</xdr:row>
      <xdr:rowOff>285750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95F406FB-F823-4C3D-A9D0-356810CDE5A9}"/>
            </a:ext>
            <a:ext uri="{147F2762-F138-4A5C-976F-8EAC2B608ADB}">
              <a16:predDERef xmlns:a16="http://schemas.microsoft.com/office/drawing/2014/main" pred="{06460319-9118-EA31-5D26-4B13F061F69C}"/>
            </a:ext>
          </a:extLst>
        </xdr:cNvPr>
        <xdr:cNvSpPr/>
      </xdr:nvSpPr>
      <xdr:spPr>
        <a:xfrm>
          <a:off x="923925" y="0"/>
          <a:ext cx="781050" cy="28575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Previous</a:t>
          </a:r>
        </a:p>
      </xdr:txBody>
    </xdr:sp>
    <xdr:clientData/>
  </xdr:twoCellAnchor>
  <xdr:twoCellAnchor>
    <xdr:from>
      <xdr:col>3</xdr:col>
      <xdr:colOff>238125</xdr:colOff>
      <xdr:row>0</xdr:row>
      <xdr:rowOff>9525</xdr:rowOff>
    </xdr:from>
    <xdr:to>
      <xdr:col>4</xdr:col>
      <xdr:colOff>228600</xdr:colOff>
      <xdr:row>1</xdr:row>
      <xdr:rowOff>0</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952550F0-D0A5-469C-8CA3-3FA53196979E}"/>
            </a:ext>
            <a:ext uri="{147F2762-F138-4A5C-976F-8EAC2B608ADB}">
              <a16:predDERef xmlns:a16="http://schemas.microsoft.com/office/drawing/2014/main" pred="{95F406FB-F823-4C3D-A9D0-356810CDE5A9}"/>
            </a:ext>
          </a:extLst>
        </xdr:cNvPr>
        <xdr:cNvSpPr/>
      </xdr:nvSpPr>
      <xdr:spPr>
        <a:xfrm>
          <a:off x="1704975" y="9525"/>
          <a:ext cx="552450" cy="28575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rPr>
            <a:t>Next</a:t>
          </a:r>
        </a:p>
      </xdr:txBody>
    </xdr:sp>
    <xdr:clientData/>
  </xdr:twoCellAnchor>
  <xdr:twoCellAnchor>
    <xdr:from>
      <xdr:col>1</xdr:col>
      <xdr:colOff>0</xdr:colOff>
      <xdr:row>0</xdr:row>
      <xdr:rowOff>0</xdr:rowOff>
    </xdr:from>
    <xdr:to>
      <xdr:col>1</xdr:col>
      <xdr:colOff>792000</xdr:colOff>
      <xdr:row>0</xdr:row>
      <xdr:rowOff>281940</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229C3AB7-B995-489B-A9AA-B83EC8755758}"/>
            </a:ext>
          </a:extLst>
        </xdr:cNvPr>
        <xdr:cNvSpPr/>
      </xdr:nvSpPr>
      <xdr:spPr>
        <a:xfrm>
          <a:off x="304800" y="0"/>
          <a:ext cx="792000" cy="281940"/>
        </a:xfrm>
        <a:prstGeom prst="roundRect">
          <a:avLst/>
        </a:prstGeom>
        <a:solidFill>
          <a:srgbClr val="FFC000"/>
        </a:solidFill>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kern="1200">
              <a:solidFill>
                <a:schemeClr val="tx1"/>
              </a:solidFill>
              <a:latin typeface="+mn-lt"/>
              <a:sym typeface="Wingdings" panose="05000000000000000000" pitchFamily="2" charset="2"/>
            </a:rPr>
            <a:t>Menu</a:t>
          </a:r>
          <a:endParaRPr lang="en-GB" sz="1100" kern="1200">
            <a:solidFill>
              <a:schemeClr val="tx1"/>
            </a:solidFill>
            <a:latin typeface="Wingdings" panose="05000000000000000000" pitchFamily="2" charset="2"/>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eorgi T-L" refreshedDate="46090.682223148149" createdVersion="8" refreshedVersion="8" minRefreshableVersion="3" recordCount="200" xr:uid="{55C390A6-5C69-4A6E-90F2-166580B1DA41}">
  <cacheSource type="worksheet">
    <worksheetSource ref="B3:E203" sheet="2b Giving history"/>
  </cacheSource>
  <cacheFields count="4">
    <cacheField name="Annual total" numFmtId="168">
      <sharedItems containsNonDate="0" containsString="0" containsBlank="1"/>
    </cacheField>
    <cacheField name="Gift Aid-able?" numFmtId="0">
      <sharedItems containsNonDate="0" containsString="0" containsBlank="1"/>
    </cacheField>
    <cacheField name="Giving method" numFmtId="0">
      <sharedItems containsNonDate="0" containsString="0" containsBlank="1"/>
    </cacheField>
    <cacheField name="Age band" numFmtId="0">
      <sharedItems containsNonDate="0" containsBlank="1" count="5">
        <m/>
        <s v="D" u="1"/>
        <s v="B" u="1"/>
        <s v="C" u="1"/>
        <s v="A"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r>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CC8DA3-FC4D-4E43-AF14-51B0B326A875}" name="PivotTable2" cacheId="4" applyNumberFormats="0" applyBorderFormats="0" applyFontFormats="0" applyPatternFormats="0" applyAlignmentFormats="0" applyWidthHeightFormats="1" dataCaption="Values" grandTotalCaption="Overall" updatedVersion="8" minRefreshableVersion="3" useAutoFormatting="1" itemPrintTitles="1" createdVersion="8" indent="0" outline="1" outlineData="1" multipleFieldFilters="0" rowHeaderCaption="Age Band" colHeaderCaption="Gift Aid">
  <location ref="G22:G23" firstHeaderRow="1" firstDataRow="1" firstDataCol="1"/>
  <pivotFields count="4">
    <pivotField showAll="0"/>
    <pivotField showAll="0"/>
    <pivotField showAll="0"/>
    <pivotField axis="axisRow" showAll="0">
      <items count="6">
        <item m="1" x="4"/>
        <item m="1" x="2"/>
        <item m="1" x="3"/>
        <item m="1" x="1"/>
        <item h="1" x="0"/>
        <item t="default"/>
      </items>
    </pivotField>
  </pivotFields>
  <rowFields count="1">
    <field x="3"/>
  </rowFields>
  <rowItems count="1">
    <i t="grand">
      <x/>
    </i>
  </rowItems>
  <colItems count="1">
    <i/>
  </colItems>
  <formats count="8">
    <format dxfId="62">
      <pivotArea type="all" dataOnly="0" outline="0" fieldPosition="0"/>
    </format>
    <format dxfId="61">
      <pivotArea outline="0" collapsedLevelsAreSubtotals="1" fieldPosition="0"/>
    </format>
    <format dxfId="60">
      <pivotArea type="origin" dataOnly="0" labelOnly="1" outline="0" fieldPosition="0"/>
    </format>
    <format dxfId="59">
      <pivotArea type="topRight" dataOnly="0" labelOnly="1" outline="0" fieldPosition="0"/>
    </format>
    <format dxfId="58">
      <pivotArea field="3" type="button" dataOnly="0" labelOnly="1" outline="0" axis="axisRow" fieldPosition="0"/>
    </format>
    <format dxfId="57">
      <pivotArea dataOnly="0" labelOnly="1" fieldPosition="0">
        <references count="1">
          <reference field="3" count="0"/>
        </references>
      </pivotArea>
    </format>
    <format dxfId="56">
      <pivotArea dataOnly="0" labelOnly="1" grandRow="1" outline="0" fieldPosition="0"/>
    </format>
    <format dxfId="5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a:themeElements>
    <a:clrScheme name="Giving in Grace">
      <a:dk1>
        <a:sysClr val="windowText" lastClr="000000"/>
      </a:dk1>
      <a:lt1>
        <a:sysClr val="window" lastClr="FFFFFF"/>
      </a:lt1>
      <a:dk2>
        <a:srgbClr val="0E2841"/>
      </a:dk2>
      <a:lt2>
        <a:srgbClr val="E8E8E8"/>
      </a:lt2>
      <a:accent1>
        <a:srgbClr val="CCA8E9"/>
      </a:accent1>
      <a:accent2>
        <a:srgbClr val="C3BEF0"/>
      </a:accent2>
      <a:accent3>
        <a:srgbClr val="CEDEFC"/>
      </a:accent3>
      <a:accent4>
        <a:srgbClr val="DEFCF9"/>
      </a:accent4>
      <a:accent5>
        <a:srgbClr val="C2FFC7"/>
      </a:accent5>
      <a:accent6>
        <a:srgbClr val="9EDF9C"/>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FC47F-A1C7-4B2C-9CA4-9273BB63F7E3}">
  <sheetPr>
    <tabColor rgb="FFFFC000"/>
  </sheetPr>
  <dimension ref="A1:O11"/>
  <sheetViews>
    <sheetView showGridLines="0" showRowColHeaders="0" tabSelected="1" workbookViewId="0"/>
  </sheetViews>
  <sheetFormatPr baseColWidth="10" defaultColWidth="8.6640625" defaultRowHeight="13" x14ac:dyDescent="0.15"/>
  <cols>
    <col min="1" max="1" width="4.6640625" customWidth="1"/>
    <col min="2" max="2" width="19.5" customWidth="1"/>
    <col min="3" max="3" width="2.1640625" customWidth="1"/>
    <col min="4" max="4" width="24" customWidth="1"/>
    <col min="5" max="5" width="2.1640625" customWidth="1"/>
    <col min="6" max="6" width="23.6640625" customWidth="1"/>
    <col min="7" max="7" width="2.1640625" customWidth="1"/>
    <col min="8" max="8" width="23.6640625" customWidth="1"/>
    <col min="9" max="9" width="2.1640625" customWidth="1"/>
    <col min="10" max="10" width="35.5" customWidth="1"/>
  </cols>
  <sheetData>
    <row r="1" spans="1:15" x14ac:dyDescent="0.15">
      <c r="A1" s="203"/>
    </row>
    <row r="2" spans="1:15" ht="24" x14ac:dyDescent="0.3">
      <c r="B2" s="337" t="str">
        <f>IF(ISNONTEXT('1 Start here'!$B$5),"Enter your church name in the Getting Started sheet",'1 Start here'!$B$5)</f>
        <v>Enter your church name in the Getting Started sheet</v>
      </c>
      <c r="C2" s="337"/>
      <c r="D2" s="337"/>
      <c r="E2" s="337"/>
      <c r="F2" s="337"/>
      <c r="G2" s="337"/>
      <c r="H2" s="337"/>
      <c r="I2" s="337"/>
      <c r="J2" s="337"/>
      <c r="K2" s="61"/>
      <c r="L2" s="61"/>
      <c r="M2" s="61"/>
      <c r="N2" s="61"/>
      <c r="O2" s="61"/>
    </row>
    <row r="3" spans="1:15" ht="18" x14ac:dyDescent="0.25">
      <c r="B3" s="338" t="s">
        <v>0</v>
      </c>
      <c r="C3" s="338"/>
      <c r="D3" s="338"/>
      <c r="E3" s="338"/>
      <c r="F3" s="338"/>
      <c r="G3" s="338"/>
      <c r="H3" s="338"/>
      <c r="I3" s="338"/>
      <c r="J3" s="338"/>
      <c r="K3" s="62"/>
      <c r="L3" s="62"/>
      <c r="M3" s="62"/>
      <c r="N3" s="62"/>
      <c r="O3" s="62"/>
    </row>
    <row r="5" spans="1:15" s="6" customFormat="1" ht="16.25" customHeight="1" x14ac:dyDescent="0.15">
      <c r="A5" s="94"/>
      <c r="B5" s="94" t="s">
        <v>1</v>
      </c>
      <c r="D5" s="94" t="s">
        <v>2</v>
      </c>
      <c r="F5" s="94" t="s">
        <v>3</v>
      </c>
      <c r="H5" s="94" t="s">
        <v>4</v>
      </c>
      <c r="J5" s="95" t="s">
        <v>5</v>
      </c>
    </row>
    <row r="6" spans="1:15" x14ac:dyDescent="0.15">
      <c r="J6" s="63"/>
    </row>
    <row r="7" spans="1:15" ht="26.5" customHeight="1" x14ac:dyDescent="0.15">
      <c r="J7" s="63"/>
    </row>
    <row r="8" spans="1:15" s="64" customFormat="1" ht="68.5" customHeight="1" x14ac:dyDescent="0.15">
      <c r="B8" s="65" t="s">
        <v>6</v>
      </c>
      <c r="D8" s="65" t="s">
        <v>7</v>
      </c>
      <c r="F8" s="65" t="s">
        <v>8</v>
      </c>
      <c r="H8" s="65" t="s">
        <v>9</v>
      </c>
      <c r="J8" s="205" t="s">
        <v>10</v>
      </c>
    </row>
    <row r="10" spans="1:15" ht="26.5" customHeight="1" x14ac:dyDescent="0.15"/>
    <row r="11" spans="1:15" s="45" customFormat="1" ht="64" x14ac:dyDescent="0.15">
      <c r="D11" s="65" t="s">
        <v>11</v>
      </c>
      <c r="F11" s="65" t="s">
        <v>12</v>
      </c>
      <c r="H11" s="65"/>
      <c r="J11" s="65"/>
    </row>
  </sheetData>
  <sheetProtection sheet="1" selectLockedCells="1"/>
  <customSheetViews>
    <customSheetView guid="{359010A1-0405-4C05-8A51-03FA4E24F244}" showGridLines="0"/>
    <customSheetView guid="{6E4277CF-1161-4602-99B2-7466BE4F7FEC}" showGridLines="0"/>
  </customSheetViews>
  <mergeCells count="2">
    <mergeCell ref="B2:J2"/>
    <mergeCell ref="B3:J3"/>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031C-6A94-4284-B8CB-98A8B649F42D}">
  <sheetPr>
    <tabColor rgb="FFFFFF99"/>
  </sheetPr>
  <dimension ref="A1:Q135"/>
  <sheetViews>
    <sheetView showGridLines="0" zoomScaleNormal="100" workbookViewId="0">
      <selection activeCell="J1" sqref="J1"/>
      <extLst>
        <ext xmlns:xlsdti="http://schemas.microsoft.com/office/spreadsheetml/2023/showDataTypeIcons" uri="{77bfe23e-c014-4d31-8a63-9c772dbf06b6}">
          <xlsdti:showDataTypeIcons visible="0"/>
        </ext>
      </extLst>
    </sheetView>
  </sheetViews>
  <sheetFormatPr baseColWidth="10" defaultColWidth="8.6640625" defaultRowHeight="13" x14ac:dyDescent="0.15"/>
  <cols>
    <col min="1" max="1" width="2" customWidth="1"/>
    <col min="3" max="3" width="10.83203125" bestFit="1" customWidth="1"/>
    <col min="4" max="6" width="10.6640625" customWidth="1"/>
    <col min="7" max="7" width="11.5" customWidth="1"/>
    <col min="8" max="8" width="1" customWidth="1"/>
    <col min="9" max="9" width="11.33203125" customWidth="1"/>
    <col min="10" max="10" width="3.6640625" customWidth="1"/>
  </cols>
  <sheetData>
    <row r="1" spans="1:17" ht="24" x14ac:dyDescent="0.3">
      <c r="A1" s="428" t="str">
        <f>IF(ISNONTEXT('1 Start here'!$B$5),"Enter your church name in the Getting Started sheet",'1 Start here'!$B$5)</f>
        <v>Enter your church name in the Getting Started sheet</v>
      </c>
      <c r="B1" s="428"/>
      <c r="C1" s="428"/>
      <c r="D1" s="428"/>
      <c r="E1" s="428"/>
      <c r="F1" s="428"/>
      <c r="G1" s="428"/>
      <c r="H1" s="428"/>
      <c r="I1" s="428"/>
      <c r="J1" s="5"/>
      <c r="K1" s="401"/>
      <c r="L1" s="401"/>
      <c r="M1" s="401"/>
      <c r="N1" s="401"/>
      <c r="O1" s="401"/>
      <c r="P1" s="401"/>
      <c r="Q1" s="401"/>
    </row>
    <row r="2" spans="1:17" ht="24" x14ac:dyDescent="0.3">
      <c r="A2" s="416" t="s">
        <v>172</v>
      </c>
      <c r="B2" s="416"/>
      <c r="C2" s="416"/>
      <c r="D2" s="416"/>
      <c r="E2" s="416"/>
      <c r="F2" s="416"/>
      <c r="G2" s="416"/>
      <c r="H2" s="416"/>
      <c r="I2" s="416"/>
      <c r="K2" s="402"/>
      <c r="L2" s="402"/>
      <c r="M2" s="402"/>
      <c r="N2" s="402"/>
      <c r="O2" s="402"/>
      <c r="P2" s="402"/>
      <c r="Q2" s="402"/>
    </row>
    <row r="3" spans="1:17" x14ac:dyDescent="0.15">
      <c r="K3" s="402"/>
      <c r="L3" s="402"/>
      <c r="M3" s="402"/>
      <c r="N3" s="402"/>
      <c r="O3" s="402"/>
      <c r="P3" s="402"/>
      <c r="Q3" s="402"/>
    </row>
    <row r="4" spans="1:17" ht="21" thickBot="1" x14ac:dyDescent="0.3">
      <c r="A4" s="407" t="s">
        <v>173</v>
      </c>
      <c r="B4" s="407"/>
      <c r="C4" s="407"/>
      <c r="D4" s="407"/>
      <c r="E4" s="407"/>
      <c r="F4" s="407"/>
      <c r="G4" s="407"/>
      <c r="H4" s="407"/>
      <c r="I4" s="407"/>
      <c r="K4" s="402"/>
      <c r="L4" s="402"/>
      <c r="M4" s="402"/>
      <c r="N4" s="402"/>
      <c r="O4" s="402"/>
      <c r="P4" s="402"/>
      <c r="Q4" s="402"/>
    </row>
    <row r="5" spans="1:17" ht="24" customHeight="1" thickTop="1" x14ac:dyDescent="0.2">
      <c r="A5" s="417" t="str" cm="1">
        <f t="array" ref="A5">"These charts give an overview of the operational, day to day, income and expenditure of the church " &amp; _xlfn.IFS('1 Start here'!C11="","in " &amp; D8 &amp; ".",'1 Start here'!C12="","over three years.",'1 Start here'!C13="","over three years.",TRUE,"over four years.")</f>
        <v>These charts give an overview of the operational, day to day, income and expenditure of the church in 0.</v>
      </c>
      <c r="B5" s="417"/>
      <c r="C5" s="417"/>
      <c r="D5" s="417"/>
      <c r="E5" s="417"/>
      <c r="F5" s="417"/>
      <c r="G5" s="417"/>
      <c r="H5" s="417"/>
      <c r="I5" s="417"/>
      <c r="J5" s="23"/>
    </row>
    <row r="6" spans="1:17" ht="41.5" customHeight="1" x14ac:dyDescent="0.2">
      <c r="A6" s="418" t="s">
        <v>174</v>
      </c>
      <c r="B6" s="418"/>
      <c r="C6" s="418"/>
      <c r="D6" s="418"/>
      <c r="E6" s="418"/>
      <c r="F6" s="418"/>
      <c r="G6" s="418"/>
      <c r="H6" s="418"/>
      <c r="I6" s="418"/>
      <c r="J6" s="23"/>
    </row>
    <row r="8" spans="1:17" s="45" customFormat="1" ht="16" thickBot="1" x14ac:dyDescent="0.25">
      <c r="D8" s="174">
        <f>'1 Start here'!$C$10</f>
        <v>0</v>
      </c>
      <c r="E8" s="174">
        <f>'1 Start here'!$C$11</f>
        <v>0</v>
      </c>
      <c r="F8" s="174">
        <f>'1 Start here'!$C$12</f>
        <v>0</v>
      </c>
      <c r="G8" s="174">
        <f>'1 Start here'!$C$13</f>
        <v>0</v>
      </c>
      <c r="I8" s="46"/>
      <c r="J8" s="46"/>
      <c r="K8" s="46"/>
      <c r="L8" s="46"/>
      <c r="M8" s="46"/>
      <c r="N8" s="46"/>
      <c r="O8" s="46"/>
    </row>
    <row r="9" spans="1:17" s="46" customFormat="1" ht="14" x14ac:dyDescent="0.2">
      <c r="B9" s="411" t="s">
        <v>175</v>
      </c>
      <c r="C9" s="411"/>
      <c r="D9" s="297">
        <f>'2a Finance history'!E19</f>
        <v>0</v>
      </c>
      <c r="E9" s="175">
        <f>'2a Finance history'!I19</f>
        <v>0</v>
      </c>
      <c r="F9" s="76">
        <f>'2a Finance history'!$M$19</f>
        <v>0</v>
      </c>
      <c r="G9" s="77">
        <f>'2a Finance history'!$Q$19</f>
        <v>0</v>
      </c>
    </row>
    <row r="10" spans="1:17" s="46" customFormat="1" ht="14" x14ac:dyDescent="0.2">
      <c r="B10" s="411" t="s">
        <v>176</v>
      </c>
      <c r="C10" s="411"/>
      <c r="D10" s="298">
        <f>'2a Finance history'!$E$38</f>
        <v>0</v>
      </c>
      <c r="E10" s="75">
        <f>'2a Finance history'!I38</f>
        <v>0</v>
      </c>
      <c r="F10" s="76">
        <f>'2a Finance history'!$M$38</f>
        <v>0</v>
      </c>
      <c r="G10" s="77">
        <f>'2a Finance history'!$Q$38</f>
        <v>0</v>
      </c>
    </row>
    <row r="11" spans="1:17" s="46" customFormat="1" ht="15" thickBot="1" x14ac:dyDescent="0.25">
      <c r="B11" s="411" t="s">
        <v>177</v>
      </c>
      <c r="C11" s="411"/>
      <c r="D11" s="299">
        <f>D9-D10</f>
        <v>0</v>
      </c>
      <c r="E11" s="224">
        <f>'2a Finance history'!I40</f>
        <v>0</v>
      </c>
      <c r="F11" s="225">
        <f>F9-F10</f>
        <v>0</v>
      </c>
      <c r="G11" s="226">
        <f>G9-G10</f>
        <v>0</v>
      </c>
      <c r="I11"/>
      <c r="J11"/>
      <c r="K11"/>
      <c r="L11"/>
      <c r="M11"/>
      <c r="N11"/>
      <c r="O11"/>
    </row>
    <row r="12" spans="1:17" ht="16" thickTop="1" thickBot="1" x14ac:dyDescent="0.25">
      <c r="F12" s="24" t="str" cm="1">
        <f t="array" ref="F12">_xlfn.IFS('1 Start here'!C11="","Total surplus/deficit:",'1 Start here'!C12="","2 year running total surplus/deficit:",'1 Start here'!C13="","3 year running total surplus/deficit:",TRUE,"4 year running total surplus/deficit:")</f>
        <v>Total surplus/deficit:</v>
      </c>
      <c r="G12" s="223">
        <f>SUM(D11:G11)</f>
        <v>0</v>
      </c>
    </row>
    <row r="13" spans="1:17" ht="14" thickTop="1" x14ac:dyDescent="0.15"/>
    <row r="14" spans="1:17" ht="234.5" customHeight="1" x14ac:dyDescent="0.15">
      <c r="A14" s="415"/>
      <c r="B14" s="415"/>
      <c r="C14" s="415"/>
      <c r="D14" s="415"/>
      <c r="E14" s="415"/>
      <c r="F14" s="415"/>
      <c r="G14" s="415"/>
      <c r="H14" s="415"/>
      <c r="I14" s="415"/>
    </row>
    <row r="15" spans="1:17" ht="213.5" customHeight="1" x14ac:dyDescent="0.15">
      <c r="A15" s="406"/>
      <c r="B15" s="406"/>
      <c r="C15" s="406"/>
      <c r="D15" s="406"/>
      <c r="E15" s="406"/>
      <c r="F15" s="406"/>
      <c r="G15" s="406"/>
      <c r="H15" s="406"/>
      <c r="I15" s="406"/>
    </row>
    <row r="16" spans="1:17" ht="21" thickBot="1" x14ac:dyDescent="0.3">
      <c r="A16" s="407" t="s">
        <v>178</v>
      </c>
      <c r="B16" s="407"/>
      <c r="C16" s="407"/>
      <c r="D16" s="407"/>
      <c r="E16" s="407"/>
      <c r="F16" s="407"/>
      <c r="G16" s="407"/>
      <c r="H16" s="407"/>
      <c r="I16" s="407"/>
    </row>
    <row r="17" spans="1:17" ht="69.5" customHeight="1" thickTop="1" x14ac:dyDescent="0.2">
      <c r="A17" s="410" t="s">
        <v>179</v>
      </c>
      <c r="B17" s="410"/>
      <c r="C17" s="410"/>
      <c r="D17" s="410"/>
      <c r="E17" s="410"/>
      <c r="F17" s="410"/>
      <c r="G17" s="410"/>
      <c r="H17" s="410"/>
      <c r="I17" s="410"/>
    </row>
    <row r="18" spans="1:17" ht="18.5" customHeight="1" x14ac:dyDescent="0.15"/>
    <row r="19" spans="1:17" s="45" customFormat="1" ht="16" thickBot="1" x14ac:dyDescent="0.25">
      <c r="D19" s="174">
        <f>'1 Start here'!$C$10</f>
        <v>0</v>
      </c>
      <c r="E19" s="174">
        <f>'1 Start here'!$C$11</f>
        <v>0</v>
      </c>
      <c r="F19" s="174">
        <f>'1 Start here'!$C$12</f>
        <v>0</v>
      </c>
      <c r="G19" s="174">
        <f>'1 Start here'!$C$13</f>
        <v>0</v>
      </c>
      <c r="I19" s="46"/>
      <c r="J19" s="46"/>
      <c r="K19" s="46"/>
      <c r="L19" s="46"/>
      <c r="M19" s="46"/>
      <c r="N19" s="46"/>
      <c r="O19" s="46"/>
    </row>
    <row r="20" spans="1:17" s="46" customFormat="1" ht="14" x14ac:dyDescent="0.2">
      <c r="B20" s="411" t="s">
        <v>180</v>
      </c>
      <c r="C20" s="411"/>
      <c r="D20" s="298">
        <f>SUM('2a Finance history'!$E$43:$E$44)</f>
        <v>0</v>
      </c>
      <c r="E20" s="75">
        <f>SUM('2a Finance history'!$I$43:$I$44)</f>
        <v>0</v>
      </c>
      <c r="F20" s="76">
        <f>SUM('2a Finance history'!$M$43:$M$44)</f>
        <v>0</v>
      </c>
      <c r="G20" s="77">
        <f>SUM('2a Finance history'!$Q$43:$Q$44)</f>
        <v>0</v>
      </c>
    </row>
    <row r="21" spans="1:17" ht="19.25" customHeight="1" x14ac:dyDescent="0.15"/>
    <row r="22" spans="1:17" ht="283.25" customHeight="1" x14ac:dyDescent="0.15">
      <c r="A22" s="406"/>
      <c r="B22" s="406"/>
      <c r="C22" s="406"/>
      <c r="D22" s="406"/>
      <c r="E22" s="406"/>
      <c r="F22" s="406"/>
      <c r="G22" s="406"/>
      <c r="H22" s="406"/>
      <c r="I22" s="406"/>
    </row>
    <row r="23" spans="1:17" ht="21" thickBot="1" x14ac:dyDescent="0.3">
      <c r="A23" s="407" t="s">
        <v>181</v>
      </c>
      <c r="B23" s="407"/>
      <c r="C23" s="407"/>
      <c r="D23" s="407"/>
      <c r="E23" s="407"/>
      <c r="F23" s="407"/>
      <c r="G23" s="407"/>
      <c r="H23" s="407"/>
      <c r="I23" s="407"/>
    </row>
    <row r="24" spans="1:17" ht="14.5" customHeight="1" thickTop="1" x14ac:dyDescent="0.2">
      <c r="A24" s="420" t="s">
        <v>223</v>
      </c>
      <c r="B24" s="420"/>
      <c r="C24" s="420"/>
      <c r="D24" s="420"/>
      <c r="E24" s="420"/>
      <c r="F24" s="420"/>
      <c r="G24" s="420"/>
      <c r="H24" s="420"/>
      <c r="I24" s="420"/>
    </row>
    <row r="26" spans="1:17" ht="19" thickBot="1" x14ac:dyDescent="0.3">
      <c r="A26" s="419" t="s">
        <v>183</v>
      </c>
      <c r="B26" s="419"/>
      <c r="C26" s="419"/>
      <c r="D26" s="419"/>
      <c r="E26" s="419"/>
      <c r="F26" s="419"/>
      <c r="G26" s="419"/>
      <c r="H26" s="419"/>
      <c r="K26" s="6"/>
      <c r="L26" s="6"/>
      <c r="M26" s="6"/>
      <c r="N26" s="6"/>
      <c r="O26" s="6"/>
      <c r="P26" s="6"/>
      <c r="Q26" s="6"/>
    </row>
    <row r="27" spans="1:17" s="6" customFormat="1" ht="17.5" customHeight="1" thickTop="1" x14ac:dyDescent="0.2">
      <c r="B27" s="408" t="str">
        <f>"Our total planned giving is " &amp; TEXT(Calculations!$E$14,"£#,##0") &amp; " (" &amp; TEXT(ROUND(Calculations!$E$14/52,0),"£#,##0") &amp; " per week)."</f>
        <v>Our total planned giving is £0 (£0 per week).</v>
      </c>
      <c r="C27" s="408"/>
      <c r="D27" s="408"/>
      <c r="E27" s="408"/>
      <c r="F27" s="408"/>
      <c r="G27" s="408"/>
      <c r="H27" s="408"/>
      <c r="I27" s="408"/>
    </row>
    <row r="28" spans="1:17" s="6" customFormat="1" ht="14" customHeight="1" x14ac:dyDescent="0.2">
      <c r="B28" s="408" t="str">
        <f>"&gt; This comes from " &amp; COUNT(Calculations!AH:AH) &amp; " regular Gift Aid givers and " &amp; COUNT(Calculations!AI:AI) &amp; " regular non-Gift Aid givers."</f>
        <v>&gt; This comes from 0 regular Gift Aid givers and 0 regular non-Gift Aid givers.</v>
      </c>
      <c r="C28" s="408"/>
      <c r="D28" s="408"/>
      <c r="E28" s="408"/>
      <c r="F28" s="408"/>
      <c r="G28" s="408"/>
      <c r="H28" s="408"/>
      <c r="I28" s="408"/>
    </row>
    <row r="29" spans="1:17" s="6" customFormat="1" ht="14" customHeight="1" x14ac:dyDescent="0.2">
      <c r="B29" s="408" t="e">
        <f>"The average (mean) gift size is " &amp; TEXT(Calculations!$E$15,"£0.00") &amp; " per week."</f>
        <v>#DIV/0!</v>
      </c>
      <c r="C29" s="408"/>
      <c r="D29" s="408"/>
      <c r="E29" s="408"/>
      <c r="F29" s="408"/>
      <c r="G29" s="408"/>
      <c r="H29" s="408"/>
      <c r="I29" s="408"/>
      <c r="K29" s="48"/>
      <c r="L29" s="48"/>
      <c r="M29" s="48"/>
      <c r="N29" s="48"/>
      <c r="O29" s="48"/>
      <c r="P29" s="48"/>
      <c r="Q29" s="48"/>
    </row>
    <row r="30" spans="1:17" s="48" customFormat="1" ht="14" customHeight="1" x14ac:dyDescent="0.2">
      <c r="B30" s="408" t="e" vm="2">
        <f>"&gt; This breaks down to " &amp; TEXT(Calculations!$I$15,"£0.00") &amp; " for Gift Aid giving and " &amp; TEXT(Calculations!$M$15,"£0.00") &amp; " for non-Gift Aid giving."</f>
        <v>#VALUE!</v>
      </c>
      <c r="C30" s="408"/>
      <c r="D30" s="408"/>
      <c r="E30" s="408"/>
      <c r="F30" s="408"/>
      <c r="G30" s="408"/>
      <c r="H30" s="408"/>
      <c r="I30" s="408"/>
      <c r="K30" s="6"/>
      <c r="L30" s="6"/>
      <c r="M30" s="6"/>
      <c r="N30" s="6"/>
      <c r="O30" s="6"/>
      <c r="P30" s="6"/>
      <c r="Q30" s="6"/>
    </row>
    <row r="31" spans="1:17" s="6" customFormat="1" ht="14" customHeight="1" x14ac:dyDescent="0.2">
      <c r="B31" s="408" t="e">
        <f>"The median gift size is " &amp; TEXT(Calculations!$E$16,"£0.00") &amp; " per week, ie half of our givers are giving less than this amount."</f>
        <v>#NUM!</v>
      </c>
      <c r="C31" s="408"/>
      <c r="D31" s="408"/>
      <c r="E31" s="408"/>
      <c r="F31" s="408"/>
      <c r="G31" s="408"/>
      <c r="H31" s="408"/>
      <c r="I31" s="408"/>
    </row>
    <row r="32" spans="1:17" s="6" customFormat="1" ht="14" customHeight="1" x14ac:dyDescent="0.2">
      <c r="B32" s="408" t="e" vm="2">
        <f>"&gt; This breaks down to " &amp; TEXT(Calculations!$I$16,"£0.00") &amp; " for Gift Aid giving and " &amp; TEXT(Calculations!$M$16,"£0.00") &amp; " for non-Gift Aid giving."</f>
        <v>#VALUE!</v>
      </c>
      <c r="C32" s="408"/>
      <c r="D32" s="408"/>
      <c r="E32" s="408"/>
      <c r="F32" s="408"/>
      <c r="G32" s="408"/>
      <c r="H32" s="408"/>
      <c r="I32" s="408"/>
    </row>
    <row r="33" spans="1:17" s="6" customFormat="1" ht="14" customHeight="1" x14ac:dyDescent="0.2">
      <c r="B33" s="408"/>
      <c r="C33" s="408"/>
      <c r="D33" s="408"/>
      <c r="E33" s="408"/>
      <c r="F33" s="408"/>
      <c r="G33" s="408"/>
      <c r="H33" s="408"/>
      <c r="I33" s="408"/>
      <c r="K33"/>
      <c r="L33"/>
      <c r="M33"/>
      <c r="N33"/>
      <c r="O33"/>
      <c r="P33"/>
      <c r="Q33"/>
    </row>
    <row r="34" spans="1:17" ht="273.5" customHeight="1" x14ac:dyDescent="0.15">
      <c r="A34" s="406"/>
      <c r="B34" s="406"/>
      <c r="C34" s="406"/>
      <c r="D34" s="406"/>
      <c r="E34" s="406"/>
      <c r="F34" s="406"/>
      <c r="G34" s="406"/>
      <c r="H34" s="406"/>
      <c r="I34" s="406"/>
    </row>
    <row r="35" spans="1:17" ht="244.25" customHeight="1" x14ac:dyDescent="0.15">
      <c r="A35" s="406"/>
      <c r="B35" s="406"/>
      <c r="C35" s="406"/>
      <c r="D35" s="406"/>
      <c r="E35" s="406"/>
      <c r="F35" s="406"/>
      <c r="G35" s="406"/>
      <c r="H35" s="406"/>
      <c r="I35" s="406"/>
    </row>
    <row r="36" spans="1:17" ht="25.25" customHeight="1" x14ac:dyDescent="0.15">
      <c r="A36" s="45"/>
      <c r="B36" s="409" t="s">
        <v>184</v>
      </c>
      <c r="C36" s="409"/>
      <c r="D36" s="409"/>
      <c r="E36" s="409"/>
      <c r="F36" s="409"/>
      <c r="G36" s="409"/>
      <c r="H36" s="409"/>
      <c r="I36" s="409"/>
    </row>
    <row r="37" spans="1:17" ht="19" thickBot="1" x14ac:dyDescent="0.3">
      <c r="A37" s="403" t="s">
        <v>185</v>
      </c>
      <c r="B37" s="403"/>
      <c r="C37" s="403"/>
      <c r="D37" s="403"/>
      <c r="E37" s="403"/>
      <c r="F37" s="403"/>
      <c r="G37" s="45"/>
      <c r="H37" s="45"/>
      <c r="I37" s="45"/>
    </row>
    <row r="38" spans="1:17" ht="69.5" customHeight="1" thickTop="1" x14ac:dyDescent="0.2">
      <c r="B38" s="414" t="s">
        <v>186</v>
      </c>
      <c r="C38" s="414"/>
      <c r="D38" s="414"/>
      <c r="E38" s="414"/>
      <c r="F38" s="414"/>
      <c r="G38" s="414"/>
      <c r="H38" s="414"/>
      <c r="I38" s="414"/>
    </row>
    <row r="39" spans="1:17" s="6" customFormat="1" ht="41.5" customHeight="1" x14ac:dyDescent="0.15">
      <c r="B39" s="421" t="e" vm="2">
        <f ca="1">"In our church, 10% of the congregation are responsible for " &amp; ROUND(Calculations!$F$22*100,0) &amp; "% of our planned giving.  " &amp; ROUND(Calculations!$F$24*100,0) &amp; "% of our planned gifts comes from 20% of our givers.  To put it another way, 80% of our givers donate " &amp; 100-ROUND(Calculations!$F$24*100,0) &amp; "% of our planned giving between them."</f>
        <v>#VALUE!</v>
      </c>
      <c r="C39" s="422"/>
      <c r="D39" s="422"/>
      <c r="E39" s="422"/>
      <c r="F39" s="422"/>
      <c r="G39" s="422"/>
      <c r="H39" s="422"/>
      <c r="I39" s="422"/>
    </row>
    <row r="40" spans="1:17" ht="350" customHeight="1" x14ac:dyDescent="0.15">
      <c r="A40" s="406"/>
      <c r="B40" s="406"/>
      <c r="C40" s="406"/>
      <c r="D40" s="406"/>
      <c r="E40" s="406"/>
      <c r="F40" s="406"/>
      <c r="G40" s="406"/>
      <c r="H40" s="406"/>
      <c r="I40" s="406"/>
    </row>
    <row r="41" spans="1:17" ht="19" thickBot="1" x14ac:dyDescent="0.3">
      <c r="A41" s="403" t="s">
        <v>224</v>
      </c>
      <c r="B41" s="403"/>
      <c r="C41" s="403"/>
      <c r="D41" s="403"/>
      <c r="E41" s="403"/>
      <c r="F41" s="403"/>
      <c r="G41" s="45"/>
      <c r="H41" s="45"/>
      <c r="I41" s="45"/>
    </row>
    <row r="42" spans="1:17" ht="47.5" customHeight="1" thickTop="1" x14ac:dyDescent="0.2">
      <c r="B42" s="414" t="s">
        <v>225</v>
      </c>
      <c r="C42" s="414"/>
      <c r="D42" s="414"/>
      <c r="E42" s="414"/>
      <c r="F42" s="414"/>
      <c r="G42" s="414"/>
      <c r="H42" s="414"/>
      <c r="I42" s="414"/>
    </row>
    <row r="43" spans="1:17" s="6" customFormat="1" ht="25.25" customHeight="1" x14ac:dyDescent="0.15">
      <c r="B43" s="421" t="e">
        <f>"In our church, "&amp;ROUND(Calculations!$N$23*100,0)&amp;"% of our regular, planned giving is provided by people over 70."</f>
        <v>#DIV/0!</v>
      </c>
      <c r="C43" s="422"/>
      <c r="D43" s="422"/>
      <c r="E43" s="422"/>
      <c r="F43" s="422"/>
      <c r="G43" s="422"/>
      <c r="H43" s="422"/>
      <c r="I43" s="422"/>
    </row>
    <row r="44" spans="1:17" s="6" customFormat="1" ht="14" customHeight="1" x14ac:dyDescent="0.15">
      <c r="B44" s="227"/>
      <c r="C44" s="228"/>
      <c r="D44" s="228"/>
      <c r="E44" s="228"/>
      <c r="F44" s="228"/>
      <c r="G44" s="228"/>
      <c r="H44" s="228"/>
      <c r="I44" s="228"/>
    </row>
    <row r="45" spans="1:17" s="6" customFormat="1" ht="16" x14ac:dyDescent="0.15">
      <c r="B45" s="227"/>
      <c r="C45" s="228"/>
      <c r="D45" s="245" t="str">
        <f>Calculations!Q2</f>
        <v>PGS</v>
      </c>
      <c r="E45" s="245" t="str">
        <f>Calculations!U2</f>
        <v>SO</v>
      </c>
      <c r="F45" s="245" t="str">
        <f>Calculations!Y2</f>
        <v>Envelope</v>
      </c>
      <c r="G45" s="245" t="s">
        <v>34</v>
      </c>
      <c r="I45" s="228"/>
    </row>
    <row r="46" spans="1:17" s="6" customFormat="1" ht="14" x14ac:dyDescent="0.15">
      <c r="B46" s="227"/>
      <c r="C46" s="243" t="str">
        <f>'5 Digging deeper'!I11</f>
        <v>18 to 29</v>
      </c>
      <c r="D46" s="246">
        <f>Calculations!Q20</f>
        <v>0</v>
      </c>
      <c r="E46" s="246">
        <f>Calculations!U20</f>
        <v>0</v>
      </c>
      <c r="F46" s="246">
        <f>Calculations!Y20</f>
        <v>0</v>
      </c>
      <c r="G46" s="246">
        <f>Calculations!L20</f>
        <v>0</v>
      </c>
      <c r="I46" s="228"/>
    </row>
    <row r="47" spans="1:17" s="6" customFormat="1" x14ac:dyDescent="0.2">
      <c r="B47" s="227"/>
      <c r="C47" s="244" t="str">
        <f>'5 Digging deeper'!I12</f>
        <v>30 to 49</v>
      </c>
      <c r="D47" s="246">
        <f>Calculations!Q21</f>
        <v>0</v>
      </c>
      <c r="E47" s="246">
        <f>Calculations!U21</f>
        <v>0</v>
      </c>
      <c r="F47" s="246">
        <f>Calculations!Y21</f>
        <v>0</v>
      </c>
      <c r="G47" s="246">
        <f>Calculations!L21</f>
        <v>0</v>
      </c>
      <c r="I47" s="228"/>
    </row>
    <row r="48" spans="1:17" s="6" customFormat="1" x14ac:dyDescent="0.2">
      <c r="B48" s="227"/>
      <c r="C48" s="244" t="str">
        <f>'5 Digging deeper'!I13</f>
        <v>50 to 69</v>
      </c>
      <c r="D48" s="246">
        <f>Calculations!Q22</f>
        <v>0</v>
      </c>
      <c r="E48" s="246">
        <f>Calculations!U22</f>
        <v>0</v>
      </c>
      <c r="F48" s="246">
        <f>Calculations!Y22</f>
        <v>0</v>
      </c>
      <c r="G48" s="246">
        <f>Calculations!L22</f>
        <v>0</v>
      </c>
      <c r="I48" s="228"/>
    </row>
    <row r="49" spans="1:10" s="6" customFormat="1" x14ac:dyDescent="0.2">
      <c r="B49" s="227"/>
      <c r="C49" s="244" t="str">
        <f>'5 Digging deeper'!I14</f>
        <v>70 +</v>
      </c>
      <c r="D49" s="246">
        <f>Calculations!Q23</f>
        <v>0</v>
      </c>
      <c r="E49" s="246">
        <f>Calculations!U23</f>
        <v>0</v>
      </c>
      <c r="F49" s="246">
        <f>Calculations!Y23</f>
        <v>0</v>
      </c>
      <c r="G49" s="246">
        <f>Calculations!L23</f>
        <v>0</v>
      </c>
      <c r="I49" s="228"/>
    </row>
    <row r="50" spans="1:10" s="6" customFormat="1" ht="14" thickBot="1" x14ac:dyDescent="0.25">
      <c r="B50" s="227"/>
      <c r="C50" s="244" t="s">
        <v>221</v>
      </c>
      <c r="D50" s="247">
        <f>SUM(D46:D49)</f>
        <v>0</v>
      </c>
      <c r="E50" s="247">
        <f t="shared" ref="E50:F50" si="0">SUM(E46:E49)</f>
        <v>0</v>
      </c>
      <c r="F50" s="247">
        <f t="shared" si="0"/>
        <v>0</v>
      </c>
      <c r="G50" s="247">
        <f>SUM(G46:G49)</f>
        <v>0</v>
      </c>
      <c r="I50" s="228"/>
    </row>
    <row r="51" spans="1:10" s="6" customFormat="1" ht="14" thickTop="1" x14ac:dyDescent="0.15">
      <c r="B51" s="45"/>
      <c r="C51"/>
      <c r="D51" s="45"/>
      <c r="E51" s="45"/>
      <c r="F51" s="45"/>
      <c r="G51" s="45"/>
      <c r="H51" s="45"/>
      <c r="I51" s="45"/>
    </row>
    <row r="52" spans="1:10" s="6" customFormat="1" ht="122.5" customHeight="1" x14ac:dyDescent="0.15">
      <c r="B52" s="45"/>
      <c r="C52"/>
      <c r="D52" s="45"/>
      <c r="E52" s="45"/>
      <c r="F52" s="45"/>
      <c r="G52" s="45"/>
      <c r="H52" s="45"/>
      <c r="I52" s="45"/>
    </row>
    <row r="53" spans="1:10" s="6" customFormat="1" ht="122.5" customHeight="1" x14ac:dyDescent="0.15">
      <c r="B53" s="45"/>
      <c r="C53"/>
      <c r="D53" s="45"/>
      <c r="E53" s="45"/>
      <c r="F53" s="45"/>
      <c r="G53" s="45"/>
      <c r="H53" s="45"/>
      <c r="I53" s="45"/>
    </row>
    <row r="54" spans="1:10" s="6" customFormat="1" ht="84" customHeight="1" x14ac:dyDescent="0.15">
      <c r="B54" s="45"/>
      <c r="C54"/>
      <c r="D54" s="45"/>
      <c r="E54" s="45"/>
      <c r="F54" s="45"/>
      <c r="G54" s="45"/>
      <c r="H54" s="45"/>
      <c r="I54" s="45"/>
    </row>
    <row r="55" spans="1:10" ht="210.5" customHeight="1" x14ac:dyDescent="0.15">
      <c r="A55" s="45"/>
      <c r="B55" s="45"/>
      <c r="D55" s="45"/>
      <c r="E55" s="45"/>
      <c r="F55" s="45"/>
      <c r="G55" s="45"/>
      <c r="H55" s="45"/>
      <c r="I55" s="45"/>
      <c r="J55" s="6"/>
    </row>
    <row r="56" spans="1:10" ht="24.5" customHeight="1" thickBot="1" x14ac:dyDescent="0.3">
      <c r="A56" s="407" t="s">
        <v>187</v>
      </c>
      <c r="B56" s="407"/>
      <c r="C56" s="407"/>
      <c r="D56" s="407"/>
      <c r="E56" s="407"/>
      <c r="F56" s="407"/>
      <c r="G56" s="407"/>
      <c r="H56" s="407"/>
      <c r="I56" s="407"/>
    </row>
    <row r="57" spans="1:10" ht="14" thickTop="1" x14ac:dyDescent="0.15"/>
    <row r="58" spans="1:10" ht="19" thickBot="1" x14ac:dyDescent="0.3">
      <c r="A58" s="419" t="s">
        <v>183</v>
      </c>
      <c r="B58" s="419"/>
      <c r="C58" s="419"/>
      <c r="D58" s="419"/>
      <c r="E58" s="419"/>
      <c r="F58" s="419"/>
      <c r="G58" s="300" t="s">
        <v>188</v>
      </c>
      <c r="I58" s="300" t="s">
        <v>189</v>
      </c>
    </row>
    <row r="59" spans="1:10" ht="28.25" customHeight="1" thickTop="1" x14ac:dyDescent="0.2">
      <c r="B59" s="429" t="s">
        <v>190</v>
      </c>
      <c r="C59" s="429"/>
      <c r="D59" s="429"/>
      <c r="E59" s="429"/>
      <c r="F59" s="429"/>
      <c r="G59" s="50">
        <f>'3a Budget plan'!$K$38</f>
        <v>0</v>
      </c>
      <c r="I59" s="50">
        <f>G59/52</f>
        <v>0</v>
      </c>
    </row>
    <row r="60" spans="1:10" ht="14" customHeight="1" x14ac:dyDescent="0.2">
      <c r="B60" s="405" t="s">
        <v>191</v>
      </c>
      <c r="C60" s="405"/>
      <c r="D60" s="405"/>
      <c r="E60" s="405"/>
      <c r="F60" s="405"/>
      <c r="G60" s="50">
        <f>'3a Budget plan'!$K$18</f>
        <v>0</v>
      </c>
      <c r="I60" s="50">
        <f t="shared" ref="I60:I62" si="1">G60/52</f>
        <v>0</v>
      </c>
    </row>
    <row r="61" spans="1:10" ht="14.5" customHeight="1" thickBot="1" x14ac:dyDescent="0.25">
      <c r="B61" s="405" t="str">
        <f xml:space="preserve"> "That leaves us with an operational " &amp; IF('3a Budget plan'!K55&lt;0, "shortfall","surplus") &amp; " of "</f>
        <v xml:space="preserve">That leaves us with an operational surplus of </v>
      </c>
      <c r="C61" s="405"/>
      <c r="D61" s="405"/>
      <c r="E61" s="405"/>
      <c r="F61" s="405"/>
      <c r="G61" s="229">
        <f>ABS('3a Budget plan'!$K$40)</f>
        <v>0</v>
      </c>
      <c r="I61" s="229">
        <f t="shared" si="1"/>
        <v>0</v>
      </c>
    </row>
    <row r="62" spans="1:10" ht="30" customHeight="1" thickTop="1" x14ac:dyDescent="0.2">
      <c r="B62" s="405" t="str">
        <f>IF(SUM('3a Budget plan'!K57:K58)&gt;0,"We plan to use some reserves and/or make legitimate use of restricted funds to help us bridge the gap","")</f>
        <v/>
      </c>
      <c r="C62" s="405"/>
      <c r="D62" s="405"/>
      <c r="E62" s="405"/>
      <c r="F62" s="405"/>
      <c r="G62" s="50">
        <f>SUM('3a Budget plan'!$K$42:$K$43)</f>
        <v>0</v>
      </c>
      <c r="I62" s="50">
        <f t="shared" si="1"/>
        <v>0</v>
      </c>
    </row>
    <row r="63" spans="1:10" ht="23" customHeight="1" thickBot="1" x14ac:dyDescent="0.25">
      <c r="B63" s="405" t="str">
        <f>"So our overall " &amp; IF('3a Budget plan'!K60&lt;0,"shortfall","surplus") &amp; " is "</f>
        <v xml:space="preserve">So our overall surplus is </v>
      </c>
      <c r="C63" s="405"/>
      <c r="D63" s="405"/>
      <c r="E63" s="405"/>
      <c r="F63" s="405"/>
      <c r="G63" s="230">
        <f>'3a Budget plan'!$K$45</f>
        <v>0</v>
      </c>
      <c r="I63" s="230" t="str">
        <f>'3a Budget plan'!$K$47</f>
        <v/>
      </c>
    </row>
    <row r="64" spans="1:10" ht="36" customHeight="1" thickTop="1" x14ac:dyDescent="0.2">
      <c r="B64" s="405" t="s">
        <v>192</v>
      </c>
      <c r="C64" s="405"/>
      <c r="D64" s="405"/>
      <c r="E64" s="405"/>
      <c r="F64" s="405"/>
      <c r="G64" s="50"/>
      <c r="I64" s="50" t="str">
        <f>'3a Budget plan'!$K$47</f>
        <v/>
      </c>
    </row>
    <row r="65" spans="1:9" ht="14" customHeight="1" x14ac:dyDescent="0.2">
      <c r="B65" s="408"/>
      <c r="C65" s="408"/>
      <c r="D65" s="408"/>
      <c r="E65" s="408"/>
      <c r="F65" s="408"/>
      <c r="H65" s="50"/>
    </row>
    <row r="66" spans="1:9" ht="409.25" customHeight="1" x14ac:dyDescent="0.2">
      <c r="B66" s="51"/>
      <c r="C66" s="51"/>
      <c r="D66" s="51"/>
      <c r="E66" s="51"/>
      <c r="F66" s="51"/>
      <c r="H66" s="50"/>
    </row>
    <row r="68" spans="1:9" ht="27" customHeight="1" x14ac:dyDescent="0.2">
      <c r="A68" s="404" t="s">
        <v>226</v>
      </c>
      <c r="B68" s="404"/>
      <c r="C68" s="404"/>
      <c r="D68" s="404"/>
      <c r="E68" s="404"/>
      <c r="F68" s="404"/>
      <c r="G68" s="404"/>
      <c r="H68" s="404"/>
      <c r="I68" s="404"/>
    </row>
    <row r="70" spans="1:9" ht="15" x14ac:dyDescent="0.2">
      <c r="A70" s="46"/>
      <c r="B70" s="46"/>
      <c r="C70" s="46"/>
      <c r="D70" s="46"/>
      <c r="F70" s="206" cm="1">
        <f t="array" ref="F70">_xlfn.IFS('1 Start here'!$C$11="",'3a Budget plan'!F2,'1 Start here'!$C$12="",'3a Budget plan'!G2,'1 Start here'!$C$13="",'3a Budget plan'!H2,TRUE,'3a Budget plan'!I2)</f>
        <v>0</v>
      </c>
      <c r="G70" s="207" t="s">
        <v>105</v>
      </c>
      <c r="I70" s="208">
        <f>'3a Budget plan'!$K$2</f>
        <v>0</v>
      </c>
    </row>
    <row r="71" spans="1:9" ht="15" x14ac:dyDescent="0.2">
      <c r="A71" s="46"/>
      <c r="B71" s="46"/>
      <c r="C71" s="46"/>
      <c r="D71" s="46"/>
      <c r="F71" s="206" t="s">
        <v>107</v>
      </c>
      <c r="G71" s="207" t="s">
        <v>108</v>
      </c>
      <c r="I71" s="208" t="s">
        <v>109</v>
      </c>
    </row>
    <row r="72" spans="1:9" ht="18" x14ac:dyDescent="0.25">
      <c r="A72" s="289" t="s">
        <v>35</v>
      </c>
      <c r="B72" s="289"/>
      <c r="C72" s="289"/>
      <c r="D72" s="289"/>
      <c r="F72" s="47"/>
      <c r="G72" s="47"/>
      <c r="I72" s="47"/>
    </row>
    <row r="73" spans="1:9" ht="14" customHeight="1" x14ac:dyDescent="0.2">
      <c r="A73" s="386" t="s">
        <v>110</v>
      </c>
      <c r="B73" s="387"/>
      <c r="C73" s="399" t="str">
        <f>'3a Budget plan'!$B$5</f>
        <v>1. Tax efficient planned giving</v>
      </c>
      <c r="D73" s="399"/>
      <c r="E73" s="399"/>
      <c r="F73" s="304" cm="1">
        <f t="array" ref="F73">_xlfn.IFS('1 Start here'!$C$11="",'3a Budget plan'!F5,'1 Start here'!$C$12="",'3a Budget plan'!G5,'1 Start here'!$C$13="",'3a Budget plan'!H5,TRUE,'3a Budget plan'!I5)</f>
        <v>0</v>
      </c>
      <c r="G73" s="305">
        <f>'3a Budget plan'!$J$5</f>
        <v>0</v>
      </c>
      <c r="H73" s="306"/>
      <c r="I73" s="307">
        <f>'3a Budget plan'!$K$5</f>
        <v>0</v>
      </c>
    </row>
    <row r="74" spans="1:9" ht="14" x14ac:dyDescent="0.2">
      <c r="A74" s="388"/>
      <c r="B74" s="389"/>
      <c r="C74" s="395" t="str">
        <f>'3a Budget plan'!$B$6</f>
        <v>2. Other planned giving</v>
      </c>
      <c r="D74" s="395"/>
      <c r="E74" s="395"/>
      <c r="F74" s="77" cm="1">
        <f t="array" ref="F74">_xlfn.IFS('1 Start here'!$C$11="",'3a Budget plan'!F6,'1 Start here'!$C$12="",'3a Budget plan'!G6,'1 Start here'!$C$13="",'3a Budget plan'!H6,TRUE,'3a Budget plan'!I6)</f>
        <v>0</v>
      </c>
      <c r="G74" s="303">
        <f>'3a Budget plan'!$J$6</f>
        <v>0</v>
      </c>
      <c r="I74" s="308">
        <f>'3a Budget plan'!$K$6</f>
        <v>0</v>
      </c>
    </row>
    <row r="75" spans="1:9" ht="14" x14ac:dyDescent="0.2">
      <c r="A75" s="388"/>
      <c r="B75" s="389"/>
      <c r="C75" s="395" t="str">
        <f>'3a Budget plan'!$B$9</f>
        <v>6. Gift Aid recovered</v>
      </c>
      <c r="D75" s="395"/>
      <c r="E75" s="395"/>
      <c r="F75" s="77" cm="1">
        <f t="array" ref="F75">_xlfn.IFS('1 Start here'!$C$11="",'3a Budget plan'!F9,'1 Start here'!$C$12="",'3a Budget plan'!G9,'1 Start here'!$C$13="",'3a Budget plan'!H9,TRUE,'3a Budget plan'!I9)</f>
        <v>0</v>
      </c>
      <c r="G75" s="303">
        <f>'3a Budget plan'!$J$9</f>
        <v>0</v>
      </c>
      <c r="I75" s="308">
        <f>'3a Budget plan'!$K$9</f>
        <v>0</v>
      </c>
    </row>
    <row r="76" spans="1:9" ht="14" x14ac:dyDescent="0.2">
      <c r="A76" s="390"/>
      <c r="B76" s="391"/>
      <c r="C76" s="397" t="str">
        <f>'3a Budget plan'!$B$10</f>
        <v>6a. GASDS received</v>
      </c>
      <c r="D76" s="397"/>
      <c r="E76" s="397"/>
      <c r="F76" s="309" cm="1">
        <f t="array" ref="F76">_xlfn.IFS('1 Start here'!$C$11="",'3a Budget plan'!F10,'1 Start here'!$C$12="",'3a Budget plan'!G10,'1 Start here'!$C$13="",'3a Budget plan'!H10,TRUE,'3a Budget plan'!I10)</f>
        <v>0</v>
      </c>
      <c r="G76" s="310">
        <f>'3a Budget plan'!$J$10</f>
        <v>0</v>
      </c>
      <c r="H76" s="311"/>
      <c r="I76" s="312">
        <f>'3a Budget plan'!$K$10</f>
        <v>0</v>
      </c>
    </row>
    <row r="77" spans="1:9" ht="14" customHeight="1" x14ac:dyDescent="0.2">
      <c r="A77" s="386" t="s">
        <v>112</v>
      </c>
      <c r="B77" s="387"/>
      <c r="C77" s="399" t="str">
        <f>'3a Budget plan'!$B$14</f>
        <v xml:space="preserve">10. Dividends, interest, income from property etc. </v>
      </c>
      <c r="D77" s="399"/>
      <c r="E77" s="399"/>
      <c r="F77" s="304" cm="1">
        <f t="array" ref="F77">_xlfn.IFS('1 Start here'!$C$11="",'3a Budget plan'!F14,'1 Start here'!$C$12="",'3a Budget plan'!G14,'1 Start here'!$C$13="",'3a Budget plan'!H14,TRUE,'3a Budget plan'!I14)</f>
        <v>0</v>
      </c>
      <c r="G77" s="305">
        <f>'3a Budget plan'!$J$14</f>
        <v>0</v>
      </c>
      <c r="H77" s="306"/>
      <c r="I77" s="307">
        <f>'3a Budget plan'!$K$14</f>
        <v>0</v>
      </c>
    </row>
    <row r="78" spans="1:9" ht="14" x14ac:dyDescent="0.2">
      <c r="A78" s="388"/>
      <c r="B78" s="389"/>
      <c r="C78" s="395" t="str">
        <f>'3a Budget plan'!$B$15</f>
        <v>11. Statutory fees retained by the PCC</v>
      </c>
      <c r="D78" s="395"/>
      <c r="E78" s="395"/>
      <c r="F78" s="77" cm="1">
        <f t="array" ref="F78">_xlfn.IFS('1 Start here'!$C$11="",'3a Budget plan'!F15,'1 Start here'!$C$12="",'3a Budget plan'!G15,'1 Start here'!$C$13="",'3a Budget plan'!H15,TRUE,'3a Budget plan'!I15)</f>
        <v>0</v>
      </c>
      <c r="G78" s="303">
        <f>'3a Budget plan'!$J$15</f>
        <v>0</v>
      </c>
      <c r="I78" s="308">
        <f>'3a Budget plan'!$K$15</f>
        <v>0</v>
      </c>
    </row>
    <row r="79" spans="1:9" ht="14" x14ac:dyDescent="0.2">
      <c r="A79" s="390"/>
      <c r="B79" s="391"/>
      <c r="C79" s="397" t="str">
        <f>'3a Budget plan'!$B$16</f>
        <v>12. Trading activities (gross proceeds)</v>
      </c>
      <c r="D79" s="397"/>
      <c r="E79" s="397"/>
      <c r="F79" s="309" cm="1">
        <f t="array" ref="F79">_xlfn.IFS('1 Start here'!$C$11="",'3a Budget plan'!F16,'1 Start here'!$C$12="",'3a Budget plan'!G16,'1 Start here'!$C$13="",'3a Budget plan'!H16,TRUE,'3a Budget plan'!I16)</f>
        <v>0</v>
      </c>
      <c r="G79" s="310">
        <f>'3a Budget plan'!$J$16</f>
        <v>0</v>
      </c>
      <c r="H79" s="311"/>
      <c r="I79" s="312">
        <f>'3a Budget plan'!$K$16</f>
        <v>0</v>
      </c>
    </row>
    <row r="80" spans="1:9" ht="14" x14ac:dyDescent="0.2">
      <c r="A80" s="386" t="s">
        <v>111</v>
      </c>
      <c r="B80" s="387"/>
      <c r="C80" s="399" t="str">
        <f>'3a Budget plan'!$B$7</f>
        <v>3. Collections at services</v>
      </c>
      <c r="D80" s="399"/>
      <c r="E80" s="399"/>
      <c r="F80" s="304" cm="1">
        <f t="array" ref="F80">_xlfn.IFS('1 Start here'!$C$11="",'3a Budget plan'!F7,'1 Start here'!$C$12="",'3a Budget plan'!G7,'1 Start here'!$C$13="",'3a Budget plan'!H7,TRUE,'3a Budget plan'!I7)</f>
        <v>0</v>
      </c>
      <c r="G80" s="305">
        <f>'3a Budget plan'!$J$7</f>
        <v>0</v>
      </c>
      <c r="H80" s="306"/>
      <c r="I80" s="307">
        <f>'3a Budget plan'!$K$7</f>
        <v>0</v>
      </c>
    </row>
    <row r="81" spans="1:9" ht="14" x14ac:dyDescent="0.2">
      <c r="A81" s="388"/>
      <c r="B81" s="389"/>
      <c r="C81" s="395" t="str">
        <f>'3a Budget plan'!$B$8</f>
        <v>4. All other unrestricted giving</v>
      </c>
      <c r="D81" s="395"/>
      <c r="E81" s="395"/>
      <c r="F81" s="77" cm="1">
        <f t="array" ref="F81">_xlfn.IFS('1 Start here'!$C$11="",'3a Budget plan'!F8,'1 Start here'!$C$12="",'3a Budget plan'!G8,'1 Start here'!$C$13="",'3a Budget plan'!H8,TRUE,'3a Budget plan'!I8)</f>
        <v>0</v>
      </c>
      <c r="G81" s="303">
        <f>'3a Budget plan'!$J$8</f>
        <v>0</v>
      </c>
      <c r="I81" s="308">
        <f>'3a Budget plan'!$K$8</f>
        <v>0</v>
      </c>
    </row>
    <row r="82" spans="1:9" ht="14" customHeight="1" x14ac:dyDescent="0.2">
      <c r="A82" s="388"/>
      <c r="B82" s="389"/>
      <c r="C82" s="395" t="str">
        <f>'3a Budget plan'!$B$11</f>
        <v>7. Legacies received</v>
      </c>
      <c r="D82" s="395"/>
      <c r="E82" s="395"/>
      <c r="F82" s="77" cm="1">
        <f t="array" ref="F82">_xlfn.IFS('1 Start here'!$C$11="",'3a Budget plan'!F11,'1 Start here'!$C$12="",'3a Budget plan'!G11,'1 Start here'!$C$13="",'3a Budget plan'!H11,TRUE,'3a Budget plan'!I11)</f>
        <v>0</v>
      </c>
      <c r="G82" s="303">
        <f>'3a Budget plan'!$J$11</f>
        <v>0</v>
      </c>
      <c r="I82" s="308">
        <f>'3a Budget plan'!$K$11</f>
        <v>0</v>
      </c>
    </row>
    <row r="83" spans="1:9" ht="14" x14ac:dyDescent="0.2">
      <c r="A83" s="388"/>
      <c r="B83" s="389"/>
      <c r="C83" s="395" t="str">
        <f>'3a Budget plan'!$B$12</f>
        <v>8. Grants</v>
      </c>
      <c r="D83" s="395"/>
      <c r="E83" s="395"/>
      <c r="F83" s="77" cm="1">
        <f t="array" ref="F83">_xlfn.IFS('1 Start here'!$C$11="",'3a Budget plan'!F12,'1 Start here'!$C$12="",'3a Budget plan'!G12,'1 Start here'!$C$13="",'3a Budget plan'!H12,TRUE,'3a Budget plan'!I12)</f>
        <v>0</v>
      </c>
      <c r="G83" s="303">
        <f>'3a Budget plan'!$J$12</f>
        <v>0</v>
      </c>
      <c r="I83" s="308">
        <f>'3a Budget plan'!$K$12</f>
        <v>0</v>
      </c>
    </row>
    <row r="84" spans="1:9" ht="14" x14ac:dyDescent="0.2">
      <c r="A84" s="390"/>
      <c r="B84" s="391"/>
      <c r="C84" s="397" t="str">
        <f>'3a Budget plan'!$B$13</f>
        <v>9. Income from fundraising activities</v>
      </c>
      <c r="D84" s="397"/>
      <c r="E84" s="397"/>
      <c r="F84" s="309" cm="1">
        <f t="array" ref="F84">_xlfn.IFS('1 Start here'!$C$11="",'3a Budget plan'!F13,'1 Start here'!$C$12="",'3a Budget plan'!G13,'1 Start here'!$C$13="",'3a Budget plan'!H13,TRUE,'3a Budget plan'!I13)</f>
        <v>0</v>
      </c>
      <c r="G84" s="310">
        <f>'3a Budget plan'!$J$13</f>
        <v>0</v>
      </c>
      <c r="H84" s="311"/>
      <c r="I84" s="312">
        <f>'3a Budget plan'!$K$13</f>
        <v>0</v>
      </c>
    </row>
    <row r="85" spans="1:9" ht="14" customHeight="1" x14ac:dyDescent="0.2">
      <c r="A85" s="392" t="s">
        <v>113</v>
      </c>
      <c r="B85" s="393"/>
      <c r="C85" s="400" t="str">
        <f>'3a Budget plan'!$B$17</f>
        <v>13. Any other income / receipts</v>
      </c>
      <c r="D85" s="400"/>
      <c r="E85" s="400"/>
      <c r="F85" s="313" cm="1">
        <f t="array" ref="F85">_xlfn.IFS('1 Start here'!$C$11="",'3a Budget plan'!F17,'1 Start here'!$C$12="",'3a Budget plan'!G17,'1 Start here'!$C$13="",'3a Budget plan'!H17,TRUE,'3a Budget plan'!I17)</f>
        <v>0</v>
      </c>
      <c r="G85" s="314">
        <f>'3a Budget plan'!$J$17</f>
        <v>0</v>
      </c>
      <c r="H85" s="315"/>
      <c r="I85" s="316">
        <f>'3a Budget plan'!$K$17</f>
        <v>0</v>
      </c>
    </row>
    <row r="86" spans="1:9" ht="16" thickBot="1" x14ac:dyDescent="0.25">
      <c r="A86" s="302"/>
      <c r="B86" s="302"/>
      <c r="C86" s="301"/>
      <c r="E86" s="53" t="s">
        <v>58</v>
      </c>
      <c r="F86" s="78">
        <f>SUM(F73:F85)</f>
        <v>0</v>
      </c>
      <c r="G86" s="80">
        <f>SUM(G73:G85)</f>
        <v>0</v>
      </c>
      <c r="I86" s="82">
        <f>SUM(I73:I85)</f>
        <v>0</v>
      </c>
    </row>
    <row r="87" spans="1:9" ht="16" thickTop="1" x14ac:dyDescent="0.2">
      <c r="A87" s="46"/>
      <c r="C87" s="46"/>
      <c r="D87" s="53"/>
      <c r="E87" s="47"/>
      <c r="F87" s="47"/>
      <c r="G87" s="47"/>
    </row>
    <row r="88" spans="1:9" ht="18" x14ac:dyDescent="0.25">
      <c r="A88" s="289" t="s">
        <v>59</v>
      </c>
      <c r="B88" s="289"/>
      <c r="C88" s="289"/>
      <c r="D88" s="289"/>
      <c r="E88" s="47"/>
      <c r="F88" s="47"/>
      <c r="G88" s="47"/>
    </row>
    <row r="89" spans="1:9" ht="14" customHeight="1" x14ac:dyDescent="0.2">
      <c r="A89" s="386" t="s">
        <v>114</v>
      </c>
      <c r="B89" s="387"/>
      <c r="C89" s="398" t="str">
        <f>'3a Budget plan'!$B$21</f>
        <v>17. Fund-raising activites</v>
      </c>
      <c r="D89" s="399"/>
      <c r="E89" s="399"/>
      <c r="F89" s="304" cm="1">
        <f t="array" ref="F89">_xlfn.IFS('1 Start here'!$C$11="",'3a Budget plan'!F36,'1 Start here'!$C$12="",'3a Budget plan'!G36,'1 Start here'!$C$13="",'3a Budget plan'!H36,TRUE,'3a Budget plan'!I36)</f>
        <v>0</v>
      </c>
      <c r="G89" s="305">
        <f>'3a Budget plan'!$J$21</f>
        <v>0</v>
      </c>
      <c r="H89" s="306"/>
      <c r="I89" s="307">
        <f>'3a Budget plan'!$K$21</f>
        <v>0</v>
      </c>
    </row>
    <row r="90" spans="1:9" ht="14" x14ac:dyDescent="0.2">
      <c r="A90" s="388"/>
      <c r="B90" s="389"/>
      <c r="C90" s="394" t="str">
        <f>'3a Budget plan'!$B$22</f>
        <v>18. Mission giving and donations</v>
      </c>
      <c r="D90" s="395"/>
      <c r="E90" s="395"/>
      <c r="F90" s="77" cm="1">
        <f t="array" ref="F90">_xlfn.IFS('1 Start here'!$C$11="",'3a Budget plan'!F37,'1 Start here'!$C$12="",'3a Budget plan'!G37,'1 Start here'!$C$13="",'3a Budget plan'!H37,TRUE,'3a Budget plan'!I37)</f>
        <v>0</v>
      </c>
      <c r="G90" s="303">
        <f>'3a Budget plan'!$J$22</f>
        <v>0</v>
      </c>
      <c r="I90" s="308">
        <f>'3a Budget plan'!$K$22</f>
        <v>0</v>
      </c>
    </row>
    <row r="91" spans="1:9" ht="14" x14ac:dyDescent="0.2">
      <c r="A91" s="388"/>
      <c r="B91" s="389"/>
      <c r="C91" s="394" t="str">
        <f>'3a Budget plan'!$B$24</f>
        <v>20. Salaries, wages and honararia</v>
      </c>
      <c r="D91" s="395"/>
      <c r="E91" s="395"/>
      <c r="F91" s="77" cm="1">
        <f t="array" ref="F91">_xlfn.IFS('1 Start here'!$C$11="",'3a Budget plan'!F39,'1 Start here'!$C$12="",'3a Budget plan'!G39,'1 Start here'!$C$13="",'3a Budget plan'!H39,TRUE,'3a Budget plan'!I39)</f>
        <v>0</v>
      </c>
      <c r="G91" s="303">
        <f>'3a Budget plan'!$J$24</f>
        <v>0</v>
      </c>
      <c r="I91" s="308">
        <f>'3a Budget plan'!$K$24</f>
        <v>0</v>
      </c>
    </row>
    <row r="92" spans="1:9" ht="14" x14ac:dyDescent="0.2">
      <c r="A92" s="388"/>
      <c r="B92" s="389"/>
      <c r="C92" s="394" t="str">
        <f>'3a Budget plan'!$B$26</f>
        <v>22. Mission and evangelism costs</v>
      </c>
      <c r="D92" s="395"/>
      <c r="E92" s="395"/>
      <c r="F92" s="77" cm="1">
        <f t="array" ref="F92">_xlfn.IFS('1 Start here'!$C$11="",'3a Budget plan'!F41,'1 Start here'!$C$12="",'3a Budget plan'!G41,'1 Start here'!$C$13="",'3a Budget plan'!H41,TRUE,'3a Budget plan'!I41)</f>
        <v>0</v>
      </c>
      <c r="G92" s="303">
        <f>'3a Budget plan'!$J$26</f>
        <v>0</v>
      </c>
      <c r="I92" s="308">
        <f>'3a Budget plan'!$K$26</f>
        <v>0</v>
      </c>
    </row>
    <row r="93" spans="1:9" ht="14" x14ac:dyDescent="0.2">
      <c r="A93" s="390"/>
      <c r="B93" s="391"/>
      <c r="C93" s="396" t="str">
        <f>'3a Budget plan'!$B$31</f>
        <v>25. Cost of trading</v>
      </c>
      <c r="D93" s="397"/>
      <c r="E93" s="397"/>
      <c r="F93" s="309" cm="1">
        <f t="array" ref="F93">_xlfn.IFS('1 Start here'!$C$11="",'3a Budget plan'!F46,'1 Start here'!$C$12="",'3a Budget plan'!G46,'1 Start here'!$C$13="",'3a Budget plan'!H46,TRUE,'3a Budget plan'!I46)</f>
        <v>0</v>
      </c>
      <c r="G93" s="310">
        <f>'3a Budget plan'!$J$31</f>
        <v>0</v>
      </c>
      <c r="H93" s="311"/>
      <c r="I93" s="312">
        <f>'3a Budget plan'!$K$31</f>
        <v>0</v>
      </c>
    </row>
    <row r="94" spans="1:9" ht="14" customHeight="1" x14ac:dyDescent="0.2">
      <c r="A94" s="386" t="s">
        <v>115</v>
      </c>
      <c r="B94" s="387"/>
      <c r="C94" s="398" t="str">
        <f>'3a Budget plan'!$B$23</f>
        <v>19. Deanery Share / Parish Share contribution</v>
      </c>
      <c r="D94" s="399"/>
      <c r="E94" s="399"/>
      <c r="F94" s="304" cm="1">
        <f t="array" ref="F94">_xlfn.IFS('1 Start here'!$C$11="",'3a Budget plan'!F38,'1 Start here'!$C$12="",'3a Budget plan'!G38,'1 Start here'!$C$13="",'3a Budget plan'!H38,TRUE,'3a Budget plan'!I38)</f>
        <v>0</v>
      </c>
      <c r="G94" s="305">
        <f>'3a Budget plan'!$J$23</f>
        <v>0</v>
      </c>
      <c r="H94" s="306"/>
      <c r="I94" s="307">
        <f>'3a Budget plan'!$K$23</f>
        <v>0</v>
      </c>
    </row>
    <row r="95" spans="1:9" ht="14" x14ac:dyDescent="0.2">
      <c r="A95" s="388"/>
      <c r="B95" s="389"/>
      <c r="C95" s="394" t="str">
        <f>'3a Budget plan'!$B$25</f>
        <v>21. Clergy and staff expenses</v>
      </c>
      <c r="D95" s="395"/>
      <c r="E95" s="395"/>
      <c r="F95" s="77" cm="1">
        <f t="array" ref="F95">_xlfn.IFS('1 Start here'!$C$11="",'3a Budget plan'!F40,'1 Start here'!$C$12="",'3a Budget plan'!G40,'1 Start here'!$C$13="",'3a Budget plan'!H40,TRUE,'3a Budget plan'!I40)</f>
        <v>0</v>
      </c>
      <c r="G95" s="303">
        <f>'3a Budget plan'!$J$25</f>
        <v>0</v>
      </c>
      <c r="I95" s="308">
        <f>'3a Budget plan'!$K$25</f>
        <v>0</v>
      </c>
    </row>
    <row r="96" spans="1:9" ht="14" customHeight="1" x14ac:dyDescent="0.2">
      <c r="A96" s="386" t="s">
        <v>116</v>
      </c>
      <c r="B96" s="387"/>
      <c r="C96" s="398" t="str">
        <f>'3a Budget plan'!$B$27</f>
        <v>23a. Church running expenses (inc. Governance)</v>
      </c>
      <c r="D96" s="399"/>
      <c r="E96" s="399"/>
      <c r="F96" s="304" cm="1">
        <f t="array" ref="F96">_xlfn.IFS('1 Start here'!$C$11="",'3a Budget plan'!F42,'1 Start here'!$C$12="",'3a Budget plan'!G42,'1 Start here'!$C$13="",'3a Budget plan'!H42,TRUE,'3a Budget plan'!I42)</f>
        <v>0</v>
      </c>
      <c r="G96" s="305">
        <f>'3a Budget plan'!$J$27</f>
        <v>0</v>
      </c>
      <c r="H96" s="306"/>
      <c r="I96" s="307">
        <f>'3a Budget plan'!$K$27</f>
        <v>0</v>
      </c>
    </row>
    <row r="97" spans="1:9" ht="14" x14ac:dyDescent="0.2">
      <c r="A97" s="388"/>
      <c r="B97" s="389"/>
      <c r="C97" s="394" t="str">
        <f>'3a Budget plan'!$B$28</f>
        <v>23b. Church building maintenance costs</v>
      </c>
      <c r="D97" s="395"/>
      <c r="E97" s="395"/>
      <c r="F97" s="77" cm="1">
        <f t="array" ref="F97">_xlfn.IFS('1 Start here'!$C$11="",'3a Budget plan'!F43,'1 Start here'!$C$12="",'3a Budget plan'!G43,'1 Start here'!$C$13="",'3a Budget plan'!H43,TRUE,'3a Budget plan'!I43)</f>
        <v>0</v>
      </c>
      <c r="G97" s="303">
        <f>'3a Budget plan'!$J$28</f>
        <v>0</v>
      </c>
      <c r="I97" s="308">
        <f>'3a Budget plan'!$K$28</f>
        <v>0</v>
      </c>
    </row>
    <row r="98" spans="1:9" ht="14" x14ac:dyDescent="0.2">
      <c r="A98" s="388"/>
      <c r="B98" s="389"/>
      <c r="C98" s="394" t="str">
        <f>'3a Budget plan'!$B$29</f>
        <v>23c. Church building insurance (inc. contents)</v>
      </c>
      <c r="D98" s="395"/>
      <c r="E98" s="395"/>
      <c r="F98" s="77" cm="1">
        <f t="array" ref="F98">_xlfn.IFS('1 Start here'!$C$11="",'3a Budget plan'!F44,'1 Start here'!$C$12="",'3a Budget plan'!G44,'1 Start here'!$C$13="",'3a Budget plan'!H44,TRUE,'3a Budget plan'!I44)</f>
        <v>0</v>
      </c>
      <c r="G98" s="303">
        <f>'3a Budget plan'!$J$29</f>
        <v>0</v>
      </c>
      <c r="I98" s="308">
        <f>'3a Budget plan'!$K$29</f>
        <v>0</v>
      </c>
    </row>
    <row r="99" spans="1:9" ht="14" x14ac:dyDescent="0.2">
      <c r="A99" s="390"/>
      <c r="B99" s="391"/>
      <c r="C99" s="396" t="str">
        <f>'3a Budget plan'!$B$30</f>
        <v>24. Church utility bills</v>
      </c>
      <c r="D99" s="397"/>
      <c r="E99" s="397"/>
      <c r="F99" s="309" cm="1">
        <f t="array" ref="F99">_xlfn.IFS('1 Start here'!$C$11="",'3a Budget plan'!F45,'1 Start here'!$C$12="",'3a Budget plan'!G45,'1 Start here'!$C$13="",'3a Budget plan'!H45,TRUE,'3a Budget plan'!I45)</f>
        <v>0</v>
      </c>
      <c r="G99" s="310">
        <f>'3a Budget plan'!$J$30</f>
        <v>0</v>
      </c>
      <c r="H99" s="311"/>
      <c r="I99" s="312">
        <f>'3a Budget plan'!$K$30</f>
        <v>0</v>
      </c>
    </row>
    <row r="100" spans="1:9" ht="14" x14ac:dyDescent="0.2">
      <c r="A100" s="386" t="s">
        <v>117</v>
      </c>
      <c r="B100" s="387"/>
      <c r="C100" s="398" t="str">
        <f>'3a Budget plan'!$B$32</f>
        <v>27. Major repairs to the church building</v>
      </c>
      <c r="D100" s="399"/>
      <c r="E100" s="399"/>
      <c r="F100" s="304" t="str" cm="1">
        <f t="array" ref="F100">_xlfn.IFS('1 Start here'!$C$11="",'3a Budget plan'!F47,'1 Start here'!$C$12="",'3a Budget plan'!G47,'1 Start here'!$C$13="",'3a Budget plan'!H47,TRUE,'3a Budget plan'!I47)</f>
        <v>No increase in planned giving required</v>
      </c>
      <c r="G100" s="305">
        <f>'3a Budget plan'!$J$32</f>
        <v>0</v>
      </c>
      <c r="H100" s="306"/>
      <c r="I100" s="307">
        <f>'3a Budget plan'!$K$32</f>
        <v>0</v>
      </c>
    </row>
    <row r="101" spans="1:9" ht="14" customHeight="1" x14ac:dyDescent="0.2">
      <c r="A101" s="388"/>
      <c r="B101" s="389"/>
      <c r="C101" s="394" t="str">
        <f>'3a Budget plan'!$B$33</f>
        <v>28. Major repairs to PCC property</v>
      </c>
      <c r="D101" s="395"/>
      <c r="E101" s="395"/>
      <c r="F101" s="77" cm="1">
        <f t="array" ref="F101">_xlfn.IFS('1 Start here'!$C$11="",'3a Budget plan'!F48,'1 Start here'!$C$12="",'3a Budget plan'!G48,'1 Start here'!$C$13="",'3a Budget plan'!H48,TRUE,'3a Budget plan'!I48)</f>
        <v>0</v>
      </c>
      <c r="G101" s="303">
        <f>'3a Budget plan'!$J$33</f>
        <v>0</v>
      </c>
      <c r="I101" s="308">
        <f>'3a Budget plan'!$K$33</f>
        <v>0</v>
      </c>
    </row>
    <row r="102" spans="1:9" ht="14" x14ac:dyDescent="0.2">
      <c r="A102" s="388"/>
      <c r="B102" s="389"/>
      <c r="C102" s="394" t="str">
        <f>'3a Budget plan'!$B$34</f>
        <v>29. New building work</v>
      </c>
      <c r="D102" s="395"/>
      <c r="E102" s="395"/>
      <c r="F102" s="77" cm="1">
        <f t="array" ref="F102">_xlfn.IFS('1 Start here'!$C$11="",'3a Budget plan'!F49,'1 Start here'!$C$12="",'3a Budget plan'!G49,'1 Start here'!$C$13="",'3a Budget plan'!H49,TRUE,'3a Budget plan'!I49)</f>
        <v>0</v>
      </c>
      <c r="G102" s="303">
        <f>'3a Budget plan'!$J$34</f>
        <v>0</v>
      </c>
      <c r="I102" s="308">
        <f>'3a Budget plan'!$K$34</f>
        <v>0</v>
      </c>
    </row>
    <row r="103" spans="1:9" ht="14" customHeight="1" x14ac:dyDescent="0.2">
      <c r="A103" s="388"/>
      <c r="B103" s="389"/>
      <c r="C103" s="394" t="str">
        <f>'3a Budget plan'!$C$35</f>
        <v>New activity 1</v>
      </c>
      <c r="D103" s="395"/>
      <c r="E103" s="395"/>
      <c r="F103" s="77" cm="1">
        <f t="array" ref="F103">_xlfn.IFS('1 Start here'!$C$11="",'3a Budget plan'!F50,'1 Start here'!$C$12="",'3a Budget plan'!G50,'1 Start here'!$C$13="",'3a Budget plan'!H50,TRUE,'3a Budget plan'!I50)</f>
        <v>0</v>
      </c>
      <c r="G103" s="303">
        <f>'3a Budget plan'!$J$35</f>
        <v>0</v>
      </c>
      <c r="I103" s="308">
        <f>'3a Budget plan'!$K$35</f>
        <v>0</v>
      </c>
    </row>
    <row r="104" spans="1:9" ht="14" x14ac:dyDescent="0.2">
      <c r="A104" s="388"/>
      <c r="B104" s="389"/>
      <c r="C104" s="394" t="str">
        <f>'3a Budget plan'!$C$36</f>
        <v>New activity 2</v>
      </c>
      <c r="D104" s="395"/>
      <c r="E104" s="395"/>
      <c r="F104" s="77" cm="1">
        <f t="array" ref="F104">_xlfn.IFS('1 Start here'!$C$11="",'3a Budget plan'!F51,'1 Start here'!$C$12="",'3a Budget plan'!G51,'1 Start here'!$C$13="",'3a Budget plan'!H51,TRUE,'3a Budget plan'!I51)</f>
        <v>0</v>
      </c>
      <c r="G104" s="303">
        <f>'3a Budget plan'!$J$36</f>
        <v>0</v>
      </c>
      <c r="I104" s="308">
        <f>'3a Budget plan'!$K$36</f>
        <v>0</v>
      </c>
    </row>
    <row r="105" spans="1:9" ht="14" x14ac:dyDescent="0.2">
      <c r="A105" s="390"/>
      <c r="B105" s="391"/>
      <c r="C105" s="396" t="str">
        <f>'3a Budget plan'!$C$37</f>
        <v>New activity 3</v>
      </c>
      <c r="D105" s="397"/>
      <c r="E105" s="397"/>
      <c r="F105" s="309" cm="1">
        <f t="array" ref="F105">_xlfn.IFS('1 Start here'!$C$11="",'3a Budget plan'!F52,'1 Start here'!$C$12="",'3a Budget plan'!G52,'1 Start here'!$C$13="",'3a Budget plan'!H52,TRUE,'3a Budget plan'!I52)</f>
        <v>0</v>
      </c>
      <c r="G105" s="310">
        <f>'3a Budget plan'!$J$37</f>
        <v>0</v>
      </c>
      <c r="H105" s="311"/>
      <c r="I105" s="312">
        <f>'3a Budget plan'!$K$37</f>
        <v>0</v>
      </c>
    </row>
    <row r="106" spans="1:9" ht="16" thickBot="1" x14ac:dyDescent="0.25">
      <c r="A106" s="46"/>
      <c r="B106" s="46"/>
      <c r="C106" s="46"/>
      <c r="E106" s="52" t="s">
        <v>79</v>
      </c>
      <c r="F106" s="78">
        <f>SUM(F89:F105)</f>
        <v>0</v>
      </c>
      <c r="G106" s="80">
        <f>SUM(G89:G105)</f>
        <v>0</v>
      </c>
      <c r="I106" s="82">
        <f>SUM(I89:I105)</f>
        <v>0</v>
      </c>
    </row>
    <row r="107" spans="1:9" ht="15" thickTop="1" x14ac:dyDescent="0.2">
      <c r="A107" s="46"/>
      <c r="B107" s="46"/>
      <c r="C107" s="46"/>
      <c r="E107" s="46"/>
      <c r="F107" s="47"/>
      <c r="G107" s="47"/>
      <c r="I107" s="47"/>
    </row>
    <row r="108" spans="1:9" ht="16" thickBot="1" x14ac:dyDescent="0.25">
      <c r="A108" s="46"/>
      <c r="C108" s="46"/>
      <c r="E108" s="53" t="s">
        <v>80</v>
      </c>
      <c r="F108" s="79">
        <f>F86-F106</f>
        <v>0</v>
      </c>
      <c r="G108" s="81">
        <f>G86-G106</f>
        <v>0</v>
      </c>
      <c r="I108" s="83">
        <f>I86-I106</f>
        <v>0</v>
      </c>
    </row>
    <row r="109" spans="1:9" ht="16" thickTop="1" x14ac:dyDescent="0.2">
      <c r="A109" s="46"/>
      <c r="C109" s="46"/>
      <c r="D109" s="53"/>
      <c r="E109" s="176"/>
      <c r="F109" s="176"/>
      <c r="G109" s="176"/>
    </row>
    <row r="110" spans="1:9" ht="18" x14ac:dyDescent="0.25">
      <c r="A110" s="412" t="str">
        <f>'3a Budget plan'!$B$41</f>
        <v>Use of Reserves</v>
      </c>
      <c r="B110" s="413"/>
      <c r="C110" s="413"/>
      <c r="D110" s="413"/>
      <c r="E110" s="176"/>
      <c r="F110" s="176"/>
      <c r="G110" s="176"/>
    </row>
    <row r="111" spans="1:9" ht="15" x14ac:dyDescent="0.2">
      <c r="C111" s="46" t="str">
        <f>'3a Budget plan'!$B$42</f>
        <v>Use of unrestricted reserves</v>
      </c>
      <c r="D111" s="53"/>
      <c r="E111" s="176"/>
      <c r="F111" s="176"/>
      <c r="I111" s="177">
        <f>'3a Budget plan'!$K$42</f>
        <v>0</v>
      </c>
    </row>
    <row r="112" spans="1:9" ht="15" x14ac:dyDescent="0.2">
      <c r="C112" s="46" t="str">
        <f>'3a Budget plan'!$B$43</f>
        <v>Legitimate use of restricted funds</v>
      </c>
      <c r="D112" s="53"/>
      <c r="E112" s="176"/>
      <c r="F112" s="176"/>
      <c r="I112" s="177">
        <f>'3a Budget plan'!$K$43</f>
        <v>0</v>
      </c>
    </row>
    <row r="113" spans="1:17" ht="14" x14ac:dyDescent="0.2">
      <c r="A113" s="46"/>
      <c r="B113" s="46"/>
      <c r="C113" s="46"/>
      <c r="D113" s="46"/>
      <c r="E113" s="46"/>
      <c r="F113" s="47"/>
      <c r="I113" s="47"/>
    </row>
    <row r="114" spans="1:17" ht="18" customHeight="1" thickBot="1" x14ac:dyDescent="0.25">
      <c r="A114" s="46"/>
      <c r="B114" s="46"/>
      <c r="C114" s="46"/>
      <c r="D114" s="46"/>
      <c r="E114" s="46"/>
      <c r="G114" s="321" t="str">
        <f>'3a Budget plan'!$J$45</f>
        <v xml:space="preserve">Overall Surplus/Shortfall  </v>
      </c>
      <c r="I114" s="162">
        <f>I108+I111+I112</f>
        <v>0</v>
      </c>
    </row>
    <row r="115" spans="1:17" ht="18" customHeight="1" thickTop="1" x14ac:dyDescent="0.2">
      <c r="A115" s="46"/>
      <c r="B115" s="46"/>
      <c r="C115" s="46"/>
      <c r="D115" s="46"/>
      <c r="E115" s="46"/>
      <c r="F115" s="47"/>
      <c r="G115" s="47"/>
      <c r="H115" s="47"/>
    </row>
    <row r="116" spans="1:17" ht="18" customHeight="1" x14ac:dyDescent="0.25">
      <c r="A116" s="46"/>
      <c r="B116" s="46"/>
      <c r="C116" s="355" t="str">
        <f>'3a Budget plan'!$F$47</f>
        <v>No increase in planned giving required</v>
      </c>
      <c r="D116" s="355"/>
      <c r="E116" s="355"/>
      <c r="F116" s="355"/>
      <c r="G116" s="355"/>
      <c r="I116" s="173" t="str">
        <f>'3a Budget plan'!$K$47</f>
        <v/>
      </c>
    </row>
    <row r="117" spans="1:17" ht="14" x14ac:dyDescent="0.2">
      <c r="A117" s="46"/>
      <c r="B117" s="46"/>
      <c r="C117" s="46"/>
      <c r="D117" s="46"/>
      <c r="E117" s="46"/>
      <c r="F117" s="47"/>
      <c r="G117" s="47"/>
      <c r="H117" s="47"/>
    </row>
    <row r="118" spans="1:17" ht="23.5" customHeight="1" thickBot="1" x14ac:dyDescent="0.3">
      <c r="A118" s="407" t="s">
        <v>194</v>
      </c>
      <c r="B118" s="407"/>
      <c r="C118" s="407"/>
      <c r="D118" s="407"/>
      <c r="E118" s="407"/>
      <c r="F118" s="407"/>
      <c r="G118" s="407"/>
      <c r="H118" s="407"/>
      <c r="I118" s="407"/>
    </row>
    <row r="119" spans="1:17" ht="55.25" customHeight="1" thickTop="1" x14ac:dyDescent="0.2">
      <c r="A119" s="408" t="s">
        <v>195</v>
      </c>
      <c r="B119" s="408"/>
      <c r="C119" s="408"/>
      <c r="D119" s="408"/>
      <c r="E119" s="408"/>
      <c r="F119" s="408"/>
      <c r="G119" s="408"/>
      <c r="H119" s="408"/>
      <c r="I119" s="408"/>
    </row>
    <row r="120" spans="1:17" ht="23.5" customHeight="1" x14ac:dyDescent="0.2">
      <c r="A120" s="408" t="str">
        <f>"Read the table as a whole:"</f>
        <v>Read the table as a whole:</v>
      </c>
      <c r="B120" s="408"/>
      <c r="C120" s="408"/>
      <c r="D120" s="408"/>
      <c r="E120" s="408"/>
      <c r="F120" s="408"/>
      <c r="G120" s="408"/>
      <c r="H120" s="408"/>
      <c r="I120" s="408"/>
    </row>
    <row r="121" spans="1:17" ht="14" x14ac:dyDescent="0.2">
      <c r="A121" s="408" t="str">
        <f>"&gt; It will take " &amp; C132 &amp; " people to give an extra " &amp; TEXT(F132,"£#,##0") &amp; " per week between them, in addition to their current giving."</f>
        <v>&gt; It will take 0 people to give an extra £0 per week between them, in addition to their current giving.</v>
      </c>
      <c r="B121" s="408"/>
      <c r="C121" s="408"/>
      <c r="D121" s="408"/>
      <c r="E121" s="408"/>
      <c r="F121" s="408"/>
      <c r="G121" s="408"/>
      <c r="H121" s="408"/>
      <c r="I121" s="408"/>
    </row>
    <row r="122" spans="1:17" ht="13.25" customHeight="1" x14ac:dyDescent="0.2">
      <c r="A122" s="408" t="str">
        <f xml:space="preserve"> "&gt; So we need " &amp; C125 &amp; IF(C125=1," person"," people") &amp; " to give an extra " &amp; TEXT(D125,"£#,##0.00") &amp; " per week, AND " &amp; C126 &amp; IF(C126=1," person"," people") &amp; " to give an extra " &amp; TEXT(D126,"£#,##0.00") &amp; " per week, AND … ..."</f>
        <v>&gt; So we need 0 people to give an extra  per week, AND 0 people to give an extra  per week, AND … ...</v>
      </c>
      <c r="B122" s="408"/>
      <c r="C122" s="408"/>
      <c r="D122" s="408"/>
      <c r="E122" s="408"/>
      <c r="F122" s="408"/>
      <c r="G122" s="408"/>
      <c r="H122" s="408"/>
      <c r="I122" s="408"/>
    </row>
    <row r="123" spans="1:17" ht="15.5" customHeight="1" thickBot="1" x14ac:dyDescent="0.2">
      <c r="K123" s="44"/>
      <c r="L123" s="44"/>
      <c r="M123" s="44"/>
      <c r="N123" s="44"/>
      <c r="O123" s="44"/>
      <c r="P123" s="44"/>
      <c r="Q123" s="44"/>
    </row>
    <row r="124" spans="1:17" s="44" customFormat="1" ht="53" customHeight="1" x14ac:dyDescent="0.2">
      <c r="C124" s="85" t="str">
        <f>IF('3b Gift array'!$F$31 = "No",'3b Gift array'!B8,'3b Gift array'!B21)</f>
        <v>If this many people…</v>
      </c>
      <c r="D124" s="84" t="str">
        <f>IF('3b Gift array'!$F$31 = "No",'3b Gift array'!C8,'3b Gift array'!C21)</f>
        <v>…each increase their weekly giving by…</v>
      </c>
      <c r="E124" s="84" t="str">
        <f>IF('3b Gift array'!$F$31 = "No",'3b Gift array'!E8,'3b Gift array'!E21)</f>
        <v>…or their monthly giving by…</v>
      </c>
      <c r="F124" s="84" t="str">
        <f>IF('3b Gift array'!$F$31 = "No",'3b Gift array'!F8,'3b Gift array'!F21)</f>
        <v>…we will raise extra weekly income</v>
      </c>
      <c r="K124"/>
      <c r="L124"/>
      <c r="M124"/>
      <c r="N124"/>
      <c r="O124"/>
      <c r="P124"/>
      <c r="Q124"/>
    </row>
    <row r="125" spans="1:17" ht="14" x14ac:dyDescent="0.2">
      <c r="C125" s="55">
        <f>IF('3b Gift array'!$F$31 = "No",'3b Gift array'!B9,'3b Gift array'!B22)</f>
        <v>0</v>
      </c>
      <c r="D125" s="54" t="str">
        <f>IF('3b Gift array'!$F$31 = "No",'3b Gift array'!C9,'3b Gift array'!C22)</f>
        <v/>
      </c>
      <c r="E125" s="59" t="str">
        <f>IF('3b Gift array'!$F$31 = "No",'3b Gift array'!E9,'3b Gift array'!E22)</f>
        <v/>
      </c>
      <c r="F125" s="91">
        <f>IF('3b Gift array'!$F$31 = "No",'3b Gift array'!F9,'3b Gift array'!F22)</f>
        <v>0</v>
      </c>
    </row>
    <row r="126" spans="1:17" ht="14" x14ac:dyDescent="0.2">
      <c r="C126" s="87">
        <f>IF('3b Gift array'!$F$31 = "No",'3b Gift array'!B10,'3b Gift array'!B23)</f>
        <v>0</v>
      </c>
      <c r="D126" s="86" t="str">
        <f>IF('3b Gift array'!$F$31 = "No",'3b Gift array'!C10,'3b Gift array'!C23)</f>
        <v/>
      </c>
      <c r="E126" s="90" t="str">
        <f>IF('3b Gift array'!$F$31 = "No",'3b Gift array'!E10,'3b Gift array'!E23)</f>
        <v/>
      </c>
      <c r="F126" s="92">
        <f>IF('3b Gift array'!$F$31 = "No",'3b Gift array'!F10,'3b Gift array'!F23)</f>
        <v>0</v>
      </c>
    </row>
    <row r="127" spans="1:17" ht="14" x14ac:dyDescent="0.2">
      <c r="C127" s="55">
        <f>IF('3b Gift array'!$F$31 = "No",'3b Gift array'!B11,'3b Gift array'!B24)</f>
        <v>0</v>
      </c>
      <c r="D127" s="54" t="str">
        <f>IF('3b Gift array'!$F$31 = "No",'3b Gift array'!C11,'3b Gift array'!C24)</f>
        <v/>
      </c>
      <c r="E127" s="59" t="str">
        <f>IF('3b Gift array'!$F$31 = "No",'3b Gift array'!E11,'3b Gift array'!E24)</f>
        <v/>
      </c>
      <c r="F127" s="91">
        <f>IF('3b Gift array'!$F$31 = "No",'3b Gift array'!F11,'3b Gift array'!F24)</f>
        <v>0</v>
      </c>
    </row>
    <row r="128" spans="1:17" ht="14" x14ac:dyDescent="0.2">
      <c r="C128" s="87">
        <f>IF('3b Gift array'!$F$31 = "No",'3b Gift array'!B12,'3b Gift array'!B25)</f>
        <v>0</v>
      </c>
      <c r="D128" s="86" t="str">
        <f>IF('3b Gift array'!$F$31 = "No",'3b Gift array'!C12,'3b Gift array'!C25)</f>
        <v/>
      </c>
      <c r="E128" s="90" t="str">
        <f>IF('3b Gift array'!$F$31 = "No",'3b Gift array'!E12,'3b Gift array'!E25)</f>
        <v/>
      </c>
      <c r="F128" s="92">
        <f>IF('3b Gift array'!$F$31 = "No",'3b Gift array'!F12,'3b Gift array'!F25)</f>
        <v>0</v>
      </c>
    </row>
    <row r="129" spans="1:9" ht="14" x14ac:dyDescent="0.2">
      <c r="C129" s="55">
        <f>IF('3b Gift array'!$F$31 = "No",'3b Gift array'!B13,'3b Gift array'!B26)</f>
        <v>0</v>
      </c>
      <c r="D129" s="54" t="str">
        <f>IF('3b Gift array'!$F$31 = "No",'3b Gift array'!C13,'3b Gift array'!C26)</f>
        <v/>
      </c>
      <c r="E129" s="59" t="str">
        <f>IF('3b Gift array'!$F$31 = "No",'3b Gift array'!E13,'3b Gift array'!E26)</f>
        <v/>
      </c>
      <c r="F129" s="91">
        <f>IF('3b Gift array'!$F$31 = "No",'3b Gift array'!F13,'3b Gift array'!F26)</f>
        <v>0</v>
      </c>
    </row>
    <row r="130" spans="1:9" ht="14" x14ac:dyDescent="0.2">
      <c r="C130" s="87">
        <f>IF('3b Gift array'!$F$31 = "No",'3b Gift array'!B14,'3b Gift array'!B27)</f>
        <v>0</v>
      </c>
      <c r="D130" s="86" t="str">
        <f>IF('3b Gift array'!$F$31 = "No",'3b Gift array'!C14,'3b Gift array'!C27)</f>
        <v/>
      </c>
      <c r="E130" s="90" t="str">
        <f>IF('3b Gift array'!$F$31 = "No",'3b Gift array'!E14,'3b Gift array'!E27)</f>
        <v/>
      </c>
      <c r="F130" s="92">
        <f>IF('3b Gift array'!$F$31 = "No",'3b Gift array'!F14,'3b Gift array'!F27)</f>
        <v>0</v>
      </c>
    </row>
    <row r="131" spans="1:9" ht="15" thickBot="1" x14ac:dyDescent="0.25">
      <c r="C131" s="57">
        <f>IF('3b Gift array'!$F$31 = "No",'3b Gift array'!B15,'3b Gift array'!B28)</f>
        <v>0</v>
      </c>
      <c r="D131" s="56" t="str">
        <f>IF('3b Gift array'!$F$31 = "No",'3b Gift array'!C15,'3b Gift array'!C28)</f>
        <v/>
      </c>
      <c r="E131" s="60" t="str">
        <f>IF('3b Gift array'!$F$31 = "No",'3b Gift array'!E15,'3b Gift array'!E28)</f>
        <v/>
      </c>
      <c r="F131" s="93">
        <f>IF('3b Gift array'!$F$31 = "No",'3b Gift array'!F15,'3b Gift array'!F28)</f>
        <v>0</v>
      </c>
    </row>
    <row r="132" spans="1:9" ht="15" thickBot="1" x14ac:dyDescent="0.25">
      <c r="C132" s="88">
        <f>IF('3b Gift array'!$F$31 = "No",'3b Gift array'!B16,'3b Gift array'!B29)</f>
        <v>0</v>
      </c>
      <c r="D132" s="49"/>
      <c r="E132" s="49"/>
      <c r="F132" s="89">
        <f>IF('3b Gift array'!$F$31 = "No",'3b Gift array'!F16,'3b Gift array'!F29)</f>
        <v>0</v>
      </c>
    </row>
    <row r="133" spans="1:9" ht="14" thickTop="1" x14ac:dyDescent="0.15"/>
    <row r="135" spans="1:9" ht="35" customHeight="1" x14ac:dyDescent="0.2">
      <c r="A135" s="408" t="s">
        <v>196</v>
      </c>
      <c r="B135" s="408"/>
      <c r="C135" s="408"/>
      <c r="D135" s="408"/>
      <c r="E135" s="408"/>
      <c r="F135" s="408"/>
      <c r="G135" s="408"/>
      <c r="H135" s="408"/>
      <c r="I135" s="408"/>
    </row>
  </sheetData>
  <sheetProtection sheet="1" selectLockedCells="1"/>
  <mergeCells count="92">
    <mergeCell ref="B65:F65"/>
    <mergeCell ref="A68:I68"/>
    <mergeCell ref="A121:I121"/>
    <mergeCell ref="A122:I122"/>
    <mergeCell ref="A135:I135"/>
    <mergeCell ref="A119:I119"/>
    <mergeCell ref="A120:I120"/>
    <mergeCell ref="A96:B99"/>
    <mergeCell ref="A100:B105"/>
    <mergeCell ref="A73:B76"/>
    <mergeCell ref="C73:E73"/>
    <mergeCell ref="C74:E74"/>
    <mergeCell ref="C75:E75"/>
    <mergeCell ref="C76:E76"/>
    <mergeCell ref="A80:B84"/>
    <mergeCell ref="C80:E80"/>
    <mergeCell ref="B60:F60"/>
    <mergeCell ref="B61:F61"/>
    <mergeCell ref="B62:F62"/>
    <mergeCell ref="B63:F63"/>
    <mergeCell ref="B64:F64"/>
    <mergeCell ref="B59:F59"/>
    <mergeCell ref="B32:I32"/>
    <mergeCell ref="B33:I33"/>
    <mergeCell ref="A34:I34"/>
    <mergeCell ref="A35:I35"/>
    <mergeCell ref="B36:I36"/>
    <mergeCell ref="A37:F37"/>
    <mergeCell ref="B38:I38"/>
    <mergeCell ref="B39:I39"/>
    <mergeCell ref="A40:I40"/>
    <mergeCell ref="A56:I56"/>
    <mergeCell ref="A58:F58"/>
    <mergeCell ref="A41:F41"/>
    <mergeCell ref="B42:I42"/>
    <mergeCell ref="B43:I43"/>
    <mergeCell ref="B31:I31"/>
    <mergeCell ref="A16:I16"/>
    <mergeCell ref="A17:I17"/>
    <mergeCell ref="B20:C20"/>
    <mergeCell ref="A22:I22"/>
    <mergeCell ref="A23:I23"/>
    <mergeCell ref="A24:I24"/>
    <mergeCell ref="A26:H26"/>
    <mergeCell ref="B27:I27"/>
    <mergeCell ref="B28:I28"/>
    <mergeCell ref="B29:I29"/>
    <mergeCell ref="B30:I30"/>
    <mergeCell ref="A15:I15"/>
    <mergeCell ref="A1:I1"/>
    <mergeCell ref="K1:Q1"/>
    <mergeCell ref="A2:I2"/>
    <mergeCell ref="K2:Q4"/>
    <mergeCell ref="A4:I4"/>
    <mergeCell ref="A5:I5"/>
    <mergeCell ref="A6:I6"/>
    <mergeCell ref="B9:C9"/>
    <mergeCell ref="B10:C10"/>
    <mergeCell ref="B11:C11"/>
    <mergeCell ref="A14:I14"/>
    <mergeCell ref="C81:E81"/>
    <mergeCell ref="C82:E82"/>
    <mergeCell ref="C83:E83"/>
    <mergeCell ref="C84:E84"/>
    <mergeCell ref="A77:B79"/>
    <mergeCell ref="C77:E77"/>
    <mergeCell ref="C78:E78"/>
    <mergeCell ref="C79:E79"/>
    <mergeCell ref="A85:B85"/>
    <mergeCell ref="C85:E85"/>
    <mergeCell ref="A89:B93"/>
    <mergeCell ref="C89:E89"/>
    <mergeCell ref="C90:E90"/>
    <mergeCell ref="C91:E91"/>
    <mergeCell ref="C92:E92"/>
    <mergeCell ref="C93:E93"/>
    <mergeCell ref="A94:B95"/>
    <mergeCell ref="C94:E94"/>
    <mergeCell ref="C95:E95"/>
    <mergeCell ref="C96:E96"/>
    <mergeCell ref="C97:E97"/>
    <mergeCell ref="C98:E98"/>
    <mergeCell ref="C99:E99"/>
    <mergeCell ref="C100:E100"/>
    <mergeCell ref="A110:D110"/>
    <mergeCell ref="C116:G116"/>
    <mergeCell ref="A118:I118"/>
    <mergeCell ref="C101:E101"/>
    <mergeCell ref="C102:E102"/>
    <mergeCell ref="C103:E103"/>
    <mergeCell ref="C104:E104"/>
    <mergeCell ref="C105:E105"/>
  </mergeCells>
  <conditionalFormatting sqref="C116">
    <cfRule type="expression" dxfId="27" priority="1">
      <formula>$J$31&lt;0</formula>
    </cfRule>
  </conditionalFormatting>
  <conditionalFormatting sqref="I116">
    <cfRule type="expression" dxfId="18" priority="2">
      <formula>$J$31&lt;0</formula>
    </cfRule>
  </conditionalFormatting>
  <pageMargins left="0.70866141732283472" right="0.70866141732283472" top="0.74803149606299213" bottom="0.74803149606299213" header="0.31496062992125984" footer="0.31496062992125984"/>
  <pageSetup paperSize="9" scale="95" orientation="portrait" r:id="rId1"/>
  <headerFooter differentFirst="1">
    <oddHeader>&amp;CGiving in Grace: Knowing our Numbers Report</oddHeader>
    <oddFooter>&amp;LPrinted on &amp;D&amp;RPage &amp;P of &amp;N</oddFooter>
    <firstFooter>&amp;LPrinted on &amp;D&amp;RPage &amp;P of &amp;N</firstFooter>
  </headerFooter>
  <rowBreaks count="7" manualBreakCount="7">
    <brk id="15" max="16383" man="1"/>
    <brk id="22" max="16383" man="1"/>
    <brk id="36" max="16383" man="1"/>
    <brk id="40" max="8" man="1"/>
    <brk id="55" max="16383" man="1"/>
    <brk id="67" max="16383" man="1"/>
    <brk id="117"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7" id="{B67416C0-95E7-4272-BBF7-55726F79E484}">
            <xm:f>'1 Start here'!$C$12=""</xm:f>
            <x14:dxf>
              <font>
                <color theme="0"/>
              </font>
              <fill>
                <patternFill patternType="none">
                  <bgColor auto="1"/>
                </patternFill>
              </fill>
              <border>
                <left/>
                <right/>
                <top/>
                <bottom/>
              </border>
            </x14:dxf>
          </x14:cfRule>
          <xm:sqref>F8:F11</xm:sqref>
        </x14:conditionalFormatting>
        <x14:conditionalFormatting xmlns:xm="http://schemas.microsoft.com/office/excel/2006/main">
          <x14:cfRule type="expression" priority="15" id="{28E5ABA6-700C-4884-87F4-04EF6924EE3C}">
            <xm:f>'1 Start here'!$C$12=""</xm:f>
            <x14:dxf>
              <font>
                <color theme="0"/>
              </font>
              <fill>
                <patternFill patternType="none">
                  <bgColor auto="1"/>
                </patternFill>
              </fill>
              <border>
                <left/>
                <right/>
                <top/>
                <bottom/>
                <vertical/>
                <horizontal/>
              </border>
            </x14:dxf>
          </x14:cfRule>
          <xm:sqref>F19:F20</xm:sqref>
        </x14:conditionalFormatting>
        <x14:conditionalFormatting xmlns:xm="http://schemas.microsoft.com/office/excel/2006/main">
          <x14:cfRule type="expression" priority="16" id="{8CC3DA24-F001-4D3D-BD58-D766FEAD2A14}">
            <xm:f>'1 Start here'!$C$13=""</xm:f>
            <x14:dxf>
              <font>
                <color theme="0"/>
              </font>
              <fill>
                <patternFill patternType="none">
                  <bgColor auto="1"/>
                </patternFill>
              </fill>
              <border>
                <left/>
                <right/>
                <top/>
                <bottom/>
                <vertical/>
                <horizontal/>
              </border>
            </x14:dxf>
          </x14:cfRule>
          <xm:sqref>G8:G11</xm:sqref>
        </x14:conditionalFormatting>
        <x14:conditionalFormatting xmlns:xm="http://schemas.microsoft.com/office/excel/2006/main">
          <x14:cfRule type="expression" priority="14" id="{D6729851-DE8C-4CC6-A2CB-8F70CEB7FB3E}">
            <xm:f>'1 Start here'!$C$13=""</xm:f>
            <x14:dxf>
              <font>
                <color theme="0"/>
              </font>
              <fill>
                <patternFill patternType="none">
                  <bgColor auto="1"/>
                </patternFill>
              </fill>
              <border>
                <left/>
                <right/>
                <top/>
                <bottom/>
                <vertical/>
                <horizontal/>
              </border>
            </x14:dxf>
          </x14:cfRule>
          <xm:sqref>G19:G20</xm:sqref>
        </x14:conditionalFormatting>
        <x14:conditionalFormatting xmlns:xm="http://schemas.microsoft.com/office/excel/2006/main">
          <x14:cfRule type="expression" priority="9" id="{5CC2884F-6DCC-4AE6-A45C-330CB3269198}">
            <xm:f>'3a Budget plan'!$K$40&lt;0</xm:f>
            <x14:dxf>
              <font>
                <color rgb="FFFF0000"/>
              </font>
            </x14:dxf>
          </x14:cfRule>
          <xm:sqref>G61</xm:sqref>
        </x14:conditionalFormatting>
        <x14:conditionalFormatting xmlns:xm="http://schemas.microsoft.com/office/excel/2006/main">
          <x14:cfRule type="expression" priority="8" id="{5C2A6D19-F2C4-449B-A68B-3318F2CAD1D6}">
            <xm:f>'3a Budget plan'!$K$45&lt;0</xm:f>
            <x14:dxf>
              <font>
                <color rgb="FFFF0000"/>
              </font>
            </x14:dxf>
          </x14:cfRule>
          <xm:sqref>G63</xm:sqref>
        </x14:conditionalFormatting>
        <x14:conditionalFormatting xmlns:xm="http://schemas.microsoft.com/office/excel/2006/main">
          <x14:cfRule type="expression" priority="7" id="{60E94CE8-604F-4061-8803-EC87B649AB34}">
            <xm:f>'3a Budget plan'!$K$40&lt;0</xm:f>
            <x14:dxf>
              <font>
                <color rgb="FFFF0000"/>
              </font>
            </x14:dxf>
          </x14:cfRule>
          <xm:sqref>I61</xm:sqref>
        </x14:conditionalFormatting>
        <x14:conditionalFormatting xmlns:xm="http://schemas.microsoft.com/office/excel/2006/main">
          <x14:cfRule type="expression" priority="6" id="{70B3F934-BFC0-4793-8075-CF86EAA20D4B}">
            <xm:f>'3a Budget plan'!$K$45&lt;0</xm:f>
            <x14:dxf>
              <font>
                <color rgb="FFFF0000"/>
              </font>
            </x14:dxf>
          </x14:cfRule>
          <xm:sqref>I63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0C71E-F43C-494C-BEEE-4272A3F3AFC6}">
  <sheetPr>
    <tabColor rgb="FFFFFF99"/>
  </sheetPr>
  <dimension ref="A1:Q120"/>
  <sheetViews>
    <sheetView showGridLines="0" showRowColHeaders="0" zoomScaleNormal="100" workbookViewId="0">
      <selection sqref="A1:I1"/>
      <extLst>
        <ext xmlns:xlsdti="http://schemas.microsoft.com/office/spreadsheetml/2023/showDataTypeIcons" uri="{77bfe23e-c014-4d31-8a63-9c772dbf06b6}">
          <xlsdti:showDataTypeIcons visible="0"/>
        </ext>
      </extLst>
    </sheetView>
  </sheetViews>
  <sheetFormatPr baseColWidth="10" defaultColWidth="8.6640625" defaultRowHeight="13" x14ac:dyDescent="0.15"/>
  <cols>
    <col min="1" max="1" width="2" customWidth="1"/>
    <col min="3" max="3" width="10.83203125" bestFit="1" customWidth="1"/>
    <col min="4" max="6" width="10.6640625" customWidth="1"/>
    <col min="7" max="7" width="11.5" customWidth="1"/>
    <col min="8" max="8" width="1" customWidth="1"/>
    <col min="9" max="9" width="11.5" customWidth="1"/>
    <col min="10" max="10" width="3.6640625" customWidth="1"/>
  </cols>
  <sheetData>
    <row r="1" spans="1:17" ht="24" x14ac:dyDescent="0.3">
      <c r="A1" s="428" t="str">
        <f>IF(ISNONTEXT('1 Start here'!$B$5),"Enter your church name in the Getting Started sheet",'1 Start here'!$B$5)</f>
        <v>Enter your church name in the Getting Started sheet</v>
      </c>
      <c r="B1" s="428"/>
      <c r="C1" s="428"/>
      <c r="D1" s="428"/>
      <c r="E1" s="428"/>
      <c r="F1" s="428"/>
      <c r="G1" s="428"/>
      <c r="H1" s="428"/>
      <c r="I1" s="428"/>
      <c r="J1" s="5"/>
      <c r="K1" s="401"/>
      <c r="L1" s="401"/>
      <c r="M1" s="401"/>
      <c r="N1" s="401"/>
      <c r="O1" s="401"/>
      <c r="P1" s="401"/>
      <c r="Q1" s="401"/>
    </row>
    <row r="2" spans="1:17" ht="24" x14ac:dyDescent="0.3">
      <c r="A2" s="416" t="s">
        <v>172</v>
      </c>
      <c r="B2" s="416"/>
      <c r="C2" s="416"/>
      <c r="D2" s="416"/>
      <c r="E2" s="416"/>
      <c r="F2" s="416"/>
      <c r="G2" s="416"/>
      <c r="H2" s="416"/>
      <c r="I2" s="416"/>
      <c r="K2" s="402"/>
      <c r="L2" s="402"/>
      <c r="M2" s="402"/>
      <c r="N2" s="402"/>
      <c r="O2" s="402"/>
      <c r="P2" s="402"/>
      <c r="Q2" s="402"/>
    </row>
    <row r="3" spans="1:17" x14ac:dyDescent="0.15">
      <c r="K3" s="402"/>
      <c r="L3" s="402"/>
      <c r="M3" s="402"/>
      <c r="N3" s="402"/>
      <c r="O3" s="402"/>
      <c r="P3" s="402"/>
      <c r="Q3" s="402"/>
    </row>
    <row r="4" spans="1:17" ht="21" thickBot="1" x14ac:dyDescent="0.3">
      <c r="A4" s="407" t="s">
        <v>173</v>
      </c>
      <c r="B4" s="407"/>
      <c r="C4" s="407"/>
      <c r="D4" s="407"/>
      <c r="E4" s="407"/>
      <c r="F4" s="407"/>
      <c r="G4" s="407"/>
      <c r="H4" s="407"/>
      <c r="I4" s="407"/>
      <c r="K4" s="402"/>
      <c r="L4" s="402"/>
      <c r="M4" s="402"/>
      <c r="N4" s="402"/>
      <c r="O4" s="402"/>
      <c r="P4" s="402"/>
      <c r="Q4" s="402"/>
    </row>
    <row r="5" spans="1:17" ht="34.25" customHeight="1" thickTop="1" x14ac:dyDescent="0.2">
      <c r="A5" s="417" t="str" cm="1">
        <f t="array" ref="A5">"These charts give an overview of the operational, day to day, income and expenditure of the church " &amp; _xlfn.IFS('1 Start here'!C11="","in " &amp; D8 &amp; ".",'1 Start here'!C12="","over three years.",'1 Start here'!C13="","over three years.",TRUE,"over four years.")</f>
        <v>These charts give an overview of the operational, day to day, income and expenditure of the church in 0.</v>
      </c>
      <c r="B5" s="417"/>
      <c r="C5" s="417"/>
      <c r="D5" s="417"/>
      <c r="E5" s="417"/>
      <c r="F5" s="417"/>
      <c r="G5" s="417"/>
      <c r="H5" s="417"/>
      <c r="I5" s="417"/>
      <c r="J5" s="23"/>
    </row>
    <row r="6" spans="1:17" ht="41.5" customHeight="1" x14ac:dyDescent="0.2">
      <c r="A6" s="418" t="s">
        <v>227</v>
      </c>
      <c r="B6" s="418"/>
      <c r="C6" s="418"/>
      <c r="D6" s="418"/>
      <c r="E6" s="418"/>
      <c r="F6" s="418"/>
      <c r="G6" s="418"/>
      <c r="H6" s="418"/>
      <c r="I6" s="418"/>
      <c r="J6" s="23"/>
    </row>
    <row r="8" spans="1:17" s="45" customFormat="1" ht="16" thickBot="1" x14ac:dyDescent="0.25">
      <c r="D8" s="174">
        <f>'1 Start here'!$C$10</f>
        <v>0</v>
      </c>
      <c r="E8" s="174">
        <f>'1 Start here'!$C$11</f>
        <v>0</v>
      </c>
      <c r="F8" s="174">
        <f>'1 Start here'!$C$12</f>
        <v>0</v>
      </c>
      <c r="G8" s="174">
        <f>'1 Start here'!$C$13</f>
        <v>0</v>
      </c>
      <c r="I8" s="46"/>
      <c r="J8" s="46"/>
      <c r="K8" s="46"/>
      <c r="L8" s="46"/>
      <c r="M8" s="46"/>
      <c r="N8" s="46"/>
      <c r="O8" s="46"/>
    </row>
    <row r="9" spans="1:17" s="46" customFormat="1" ht="14" x14ac:dyDescent="0.2">
      <c r="B9" s="411" t="s">
        <v>58</v>
      </c>
      <c r="C9" s="411"/>
      <c r="D9" s="297">
        <f>'2a Finance history'!G19</f>
        <v>0</v>
      </c>
      <c r="E9" s="175">
        <f>'2a Finance history'!K19</f>
        <v>0</v>
      </c>
      <c r="F9" s="76">
        <f>'2a Finance history'!$O$19</f>
        <v>0</v>
      </c>
      <c r="G9" s="77">
        <f>'2a Finance history'!$S$19</f>
        <v>0</v>
      </c>
    </row>
    <row r="10" spans="1:17" s="46" customFormat="1" ht="14" x14ac:dyDescent="0.2">
      <c r="B10" s="411" t="s">
        <v>79</v>
      </c>
      <c r="C10" s="411"/>
      <c r="D10" s="298">
        <f>'2a Finance history'!$G$38</f>
        <v>0</v>
      </c>
      <c r="E10" s="75">
        <f>'2a Finance history'!K38</f>
        <v>0</v>
      </c>
      <c r="F10" s="76">
        <f>'2a Finance history'!$O$38</f>
        <v>0</v>
      </c>
      <c r="G10" s="77">
        <f>'2a Finance history'!$S$38</f>
        <v>0</v>
      </c>
    </row>
    <row r="11" spans="1:17" s="46" customFormat="1" ht="15" thickBot="1" x14ac:dyDescent="0.25">
      <c r="B11" s="411" t="s">
        <v>177</v>
      </c>
      <c r="C11" s="411"/>
      <c r="D11" s="299">
        <f>D9-D10</f>
        <v>0</v>
      </c>
      <c r="E11" s="224">
        <f>'2a Finance history'!K40</f>
        <v>0</v>
      </c>
      <c r="F11" s="225">
        <f>F9-F10</f>
        <v>0</v>
      </c>
      <c r="G11" s="226">
        <f>G9-G10</f>
        <v>0</v>
      </c>
      <c r="I11"/>
      <c r="J11"/>
      <c r="K11"/>
      <c r="L11"/>
      <c r="M11"/>
      <c r="N11"/>
      <c r="O11"/>
    </row>
    <row r="12" spans="1:17" ht="16" thickTop="1" thickBot="1" x14ac:dyDescent="0.25">
      <c r="F12" s="24" t="str" cm="1">
        <f t="array" ref="F12">_xlfn.IFS('1 Start here'!C11="","Total surplus/deficit:",'1 Start here'!C12="","2 year running total surplus/deficit:",'1 Start here'!C13="","3 year running total surplus/deficit:",TRUE,"4 year running total surplus/deficit:")</f>
        <v>Total surplus/deficit:</v>
      </c>
      <c r="G12" s="223">
        <f>SUM(D11:G11)</f>
        <v>0</v>
      </c>
    </row>
    <row r="13" spans="1:17" ht="14" thickTop="1" x14ac:dyDescent="0.15"/>
    <row r="14" spans="1:17" ht="234.5" customHeight="1" x14ac:dyDescent="0.15">
      <c r="A14" s="415"/>
      <c r="B14" s="415"/>
      <c r="C14" s="415"/>
      <c r="D14" s="415"/>
      <c r="E14" s="415"/>
      <c r="F14" s="415"/>
      <c r="G14" s="415"/>
      <c r="H14" s="415"/>
      <c r="I14" s="415"/>
    </row>
    <row r="15" spans="1:17" ht="213.5" customHeight="1" x14ac:dyDescent="0.15">
      <c r="A15" s="406"/>
      <c r="B15" s="406"/>
      <c r="C15" s="406"/>
      <c r="D15" s="406"/>
      <c r="E15" s="406"/>
      <c r="F15" s="406"/>
      <c r="G15" s="406"/>
      <c r="H15" s="406"/>
      <c r="I15" s="406"/>
    </row>
    <row r="16" spans="1:17" ht="21" thickBot="1" x14ac:dyDescent="0.3">
      <c r="A16" s="407" t="s">
        <v>178</v>
      </c>
      <c r="B16" s="407"/>
      <c r="C16" s="407"/>
      <c r="D16" s="407"/>
      <c r="E16" s="407"/>
      <c r="F16" s="407"/>
      <c r="G16" s="407"/>
      <c r="H16" s="407"/>
      <c r="I16" s="407"/>
    </row>
    <row r="17" spans="1:17" ht="69.5" customHeight="1" thickTop="1" x14ac:dyDescent="0.2">
      <c r="A17" s="410" t="s">
        <v>179</v>
      </c>
      <c r="B17" s="410"/>
      <c r="C17" s="410"/>
      <c r="D17" s="410"/>
      <c r="E17" s="410"/>
      <c r="F17" s="410"/>
      <c r="G17" s="410"/>
      <c r="H17" s="410"/>
      <c r="I17" s="410"/>
    </row>
    <row r="18" spans="1:17" ht="18.5" customHeight="1" x14ac:dyDescent="0.15"/>
    <row r="19" spans="1:17" s="45" customFormat="1" ht="16" thickBot="1" x14ac:dyDescent="0.25">
      <c r="D19" s="174">
        <f>'1 Start here'!$C$10</f>
        <v>0</v>
      </c>
      <c r="E19" s="174">
        <f>'1 Start here'!$C$11</f>
        <v>0</v>
      </c>
      <c r="F19" s="174">
        <f>'1 Start here'!$C$12</f>
        <v>0</v>
      </c>
      <c r="G19" s="174">
        <f>'1 Start here'!$C$13</f>
        <v>0</v>
      </c>
      <c r="I19" s="46"/>
      <c r="J19" s="46"/>
      <c r="K19" s="46"/>
      <c r="L19" s="46"/>
      <c r="M19" s="46"/>
      <c r="N19" s="46"/>
      <c r="O19" s="46"/>
    </row>
    <row r="20" spans="1:17" s="46" customFormat="1" ht="14" x14ac:dyDescent="0.2">
      <c r="B20" s="411" t="s">
        <v>228</v>
      </c>
      <c r="C20" s="411"/>
      <c r="D20" s="298">
        <f>SUM('2a Finance history'!$E$43:$E$44)</f>
        <v>0</v>
      </c>
      <c r="E20" s="75">
        <f>SUM('2a Finance history'!$I$43:$I$44)</f>
        <v>0</v>
      </c>
      <c r="F20" s="76">
        <f>SUM('2a Finance history'!$M$43:$M$44)</f>
        <v>0</v>
      </c>
      <c r="G20" s="77">
        <f>SUM('2a Finance history'!$Q$43:$Q$44)</f>
        <v>0</v>
      </c>
    </row>
    <row r="21" spans="1:17" ht="19.25" customHeight="1" x14ac:dyDescent="0.2">
      <c r="B21" s="411" t="s">
        <v>229</v>
      </c>
      <c r="C21" s="411"/>
      <c r="D21" s="298">
        <f>SUM('2a Finance history'!$F$43:$F$44)</f>
        <v>0</v>
      </c>
      <c r="E21" s="75">
        <f>SUM('2a Finance history'!$J$43:$J$44)</f>
        <v>0</v>
      </c>
      <c r="F21" s="76">
        <f>SUM('2a Finance history'!$N$43:$N$44)</f>
        <v>0</v>
      </c>
      <c r="G21" s="77">
        <f>SUM('2a Finance history'!$R$43:$R$44)</f>
        <v>0</v>
      </c>
    </row>
    <row r="22" spans="1:17" ht="283.25" customHeight="1" x14ac:dyDescent="0.15">
      <c r="A22" s="406"/>
      <c r="B22" s="406"/>
      <c r="C22" s="406"/>
      <c r="D22" s="406"/>
      <c r="E22" s="406"/>
      <c r="F22" s="406"/>
      <c r="G22" s="406"/>
      <c r="H22" s="406"/>
      <c r="I22" s="406"/>
    </row>
    <row r="23" spans="1:17" ht="21" thickBot="1" x14ac:dyDescent="0.3">
      <c r="A23" s="407" t="s">
        <v>181</v>
      </c>
      <c r="B23" s="407"/>
      <c r="C23" s="407"/>
      <c r="D23" s="407"/>
      <c r="E23" s="407"/>
      <c r="F23" s="407"/>
      <c r="G23" s="407"/>
      <c r="H23" s="407"/>
      <c r="I23" s="407"/>
    </row>
    <row r="24" spans="1:17" ht="14.5" customHeight="1" thickTop="1" x14ac:dyDescent="0.2">
      <c r="A24" s="420" t="s">
        <v>223</v>
      </c>
      <c r="B24" s="420"/>
      <c r="C24" s="420"/>
      <c r="D24" s="420"/>
      <c r="E24" s="420"/>
      <c r="F24" s="420"/>
      <c r="G24" s="420"/>
      <c r="H24" s="420"/>
      <c r="I24" s="420"/>
    </row>
    <row r="26" spans="1:17" ht="19" thickBot="1" x14ac:dyDescent="0.3">
      <c r="A26" s="419" t="s">
        <v>183</v>
      </c>
      <c r="B26" s="419"/>
      <c r="C26" s="419"/>
      <c r="D26" s="419"/>
      <c r="E26" s="419"/>
      <c r="F26" s="419"/>
      <c r="G26" s="419"/>
      <c r="H26" s="419"/>
      <c r="K26" s="6"/>
      <c r="L26" s="6"/>
      <c r="M26" s="6"/>
      <c r="N26" s="6"/>
      <c r="O26" s="6"/>
      <c r="P26" s="6"/>
      <c r="Q26" s="6"/>
    </row>
    <row r="27" spans="1:17" s="6" customFormat="1" ht="17.5" customHeight="1" thickTop="1" x14ac:dyDescent="0.2">
      <c r="B27" s="408" t="str">
        <f>"Our total planned giving is " &amp; TEXT(Calculations!$E$14,"£#,##0") &amp; " (" &amp; TEXT(ROUND(Calculations!$E$14/52,0),"£#,##0") &amp; " per week)."</f>
        <v>Our total planned giving is £0 (£0 per week).</v>
      </c>
      <c r="C27" s="408"/>
      <c r="D27" s="408"/>
      <c r="E27" s="408"/>
      <c r="F27" s="408"/>
      <c r="G27" s="408"/>
      <c r="H27" s="408"/>
      <c r="I27" s="408"/>
    </row>
    <row r="28" spans="1:17" s="6" customFormat="1" ht="14" customHeight="1" x14ac:dyDescent="0.2">
      <c r="B28" s="408" t="str">
        <f>"&gt; This comes from " &amp; COUNT(Calculations!AH:AH) &amp; " regular Gift Aid givers and " &amp; COUNT(Calculations!AI:AI) &amp; " regular non-Gift Aid givers."</f>
        <v>&gt; This comes from 0 regular Gift Aid givers and 0 regular non-Gift Aid givers.</v>
      </c>
      <c r="C28" s="408"/>
      <c r="D28" s="408"/>
      <c r="E28" s="408"/>
      <c r="F28" s="408"/>
      <c r="G28" s="408"/>
      <c r="H28" s="408"/>
      <c r="I28" s="408"/>
    </row>
    <row r="29" spans="1:17" s="6" customFormat="1" ht="14" customHeight="1" x14ac:dyDescent="0.2">
      <c r="B29" s="408" t="e">
        <f>"The average (mean) gift size is " &amp; TEXT(Calculations!$E$15,"£0.00") &amp; " per week."</f>
        <v>#DIV/0!</v>
      </c>
      <c r="C29" s="408"/>
      <c r="D29" s="408"/>
      <c r="E29" s="408"/>
      <c r="F29" s="408"/>
      <c r="G29" s="408"/>
      <c r="H29" s="408"/>
      <c r="I29" s="408"/>
      <c r="K29" s="48"/>
      <c r="L29" s="48"/>
      <c r="M29" s="48"/>
      <c r="N29" s="48"/>
      <c r="O29" s="48"/>
      <c r="P29" s="48"/>
      <c r="Q29" s="48"/>
    </row>
    <row r="30" spans="1:17" s="48" customFormat="1" ht="14" customHeight="1" x14ac:dyDescent="0.2">
      <c r="B30" s="408" t="e" vm="2">
        <f>"&gt; This breaks down to " &amp; TEXT(Calculations!$I$15,"£0.00") &amp; " for Gift Aid giving and " &amp; TEXT(Calculations!$M$15,"£0.00") &amp; " for non-Gift Aid giving."</f>
        <v>#VALUE!</v>
      </c>
      <c r="C30" s="408"/>
      <c r="D30" s="408"/>
      <c r="E30" s="408"/>
      <c r="F30" s="408"/>
      <c r="G30" s="408"/>
      <c r="H30" s="408"/>
      <c r="I30" s="408"/>
      <c r="K30" s="6"/>
      <c r="L30" s="6"/>
      <c r="M30" s="6"/>
      <c r="N30" s="6"/>
      <c r="O30" s="6"/>
      <c r="P30" s="6"/>
      <c r="Q30" s="6"/>
    </row>
    <row r="31" spans="1:17" s="6" customFormat="1" ht="14" customHeight="1" x14ac:dyDescent="0.2">
      <c r="B31" s="408" t="e">
        <f>"The median gift size is " &amp; TEXT(Calculations!$E$16,"£0.00") &amp; " per week, ie half of our givers are giving less than this amount."</f>
        <v>#NUM!</v>
      </c>
      <c r="C31" s="408"/>
      <c r="D31" s="408"/>
      <c r="E31" s="408"/>
      <c r="F31" s="408"/>
      <c r="G31" s="408"/>
      <c r="H31" s="408"/>
      <c r="I31" s="408"/>
    </row>
    <row r="32" spans="1:17" s="6" customFormat="1" ht="14" customHeight="1" x14ac:dyDescent="0.2">
      <c r="B32" s="408" t="e" vm="2">
        <f>"&gt; This breaks down to " &amp; TEXT(Calculations!$I$16,"£0.00") &amp; " for Gift Aid giving and " &amp; TEXT(Calculations!$M$16,"£0.00") &amp; " for non-Gift Aid giving."</f>
        <v>#VALUE!</v>
      </c>
      <c r="C32" s="408"/>
      <c r="D32" s="408"/>
      <c r="E32" s="408"/>
      <c r="F32" s="408"/>
      <c r="G32" s="408"/>
      <c r="H32" s="408"/>
      <c r="I32" s="408"/>
    </row>
    <row r="33" spans="1:17" s="6" customFormat="1" ht="14" customHeight="1" x14ac:dyDescent="0.2">
      <c r="B33" s="408"/>
      <c r="C33" s="408"/>
      <c r="D33" s="408"/>
      <c r="E33" s="408"/>
      <c r="F33" s="408"/>
      <c r="G33" s="408"/>
      <c r="H33" s="408"/>
      <c r="I33" s="408"/>
      <c r="K33"/>
      <c r="L33"/>
      <c r="M33"/>
      <c r="N33"/>
      <c r="O33"/>
      <c r="P33"/>
      <c r="Q33"/>
    </row>
    <row r="34" spans="1:17" ht="273.5" customHeight="1" x14ac:dyDescent="0.15">
      <c r="A34" s="406"/>
      <c r="B34" s="406"/>
      <c r="C34" s="406"/>
      <c r="D34" s="406"/>
      <c r="E34" s="406"/>
      <c r="F34" s="406"/>
      <c r="G34" s="406"/>
      <c r="H34" s="406"/>
      <c r="I34" s="406"/>
    </row>
    <row r="35" spans="1:17" ht="244.25" customHeight="1" x14ac:dyDescent="0.15">
      <c r="A35" s="406"/>
      <c r="B35" s="406"/>
      <c r="C35" s="406"/>
      <c r="D35" s="406"/>
      <c r="E35" s="406"/>
      <c r="F35" s="406"/>
      <c r="G35" s="406"/>
      <c r="H35" s="406"/>
      <c r="I35" s="406"/>
    </row>
    <row r="36" spans="1:17" ht="25.25" customHeight="1" x14ac:dyDescent="0.15">
      <c r="A36" s="45"/>
      <c r="B36" s="409" t="s">
        <v>184</v>
      </c>
      <c r="C36" s="409"/>
      <c r="D36" s="409"/>
      <c r="E36" s="409"/>
      <c r="F36" s="409"/>
      <c r="G36" s="409"/>
      <c r="H36" s="409"/>
      <c r="I36" s="409"/>
    </row>
    <row r="37" spans="1:17" ht="19" thickBot="1" x14ac:dyDescent="0.3">
      <c r="A37" s="403" t="s">
        <v>185</v>
      </c>
      <c r="B37" s="403"/>
      <c r="C37" s="403"/>
      <c r="D37" s="403"/>
      <c r="E37" s="403"/>
      <c r="F37" s="403"/>
      <c r="G37" s="45"/>
      <c r="H37" s="45"/>
      <c r="I37" s="45"/>
    </row>
    <row r="38" spans="1:17" ht="69.5" customHeight="1" thickTop="1" x14ac:dyDescent="0.2">
      <c r="B38" s="414" t="s">
        <v>186</v>
      </c>
      <c r="C38" s="414"/>
      <c r="D38" s="414"/>
      <c r="E38" s="414"/>
      <c r="F38" s="414"/>
      <c r="G38" s="414"/>
      <c r="H38" s="414"/>
      <c r="I38" s="414"/>
    </row>
    <row r="39" spans="1:17" s="6" customFormat="1" ht="41.5" customHeight="1" x14ac:dyDescent="0.15">
      <c r="B39" s="421" t="e" vm="2">
        <f ca="1">"In our church, 10% of the congregation are responsible for " &amp; ROUND(Calculations!$F$22*100,0) &amp; "% of our planned giving.  " &amp; ROUND(Calculations!$F$24*100,0) &amp; "% of our planned gifts comes from 20% of our givers.  To put it another way, 80% of our givers donate " &amp; 100-ROUND(Calculations!$F$24*100,0) &amp; "% of our planned giving between them."</f>
        <v>#VALUE!</v>
      </c>
      <c r="C39" s="422"/>
      <c r="D39" s="422"/>
      <c r="E39" s="422"/>
      <c r="F39" s="422"/>
      <c r="G39" s="422"/>
      <c r="H39" s="422"/>
      <c r="I39" s="422"/>
    </row>
    <row r="40" spans="1:17" ht="350" customHeight="1" x14ac:dyDescent="0.15">
      <c r="A40" s="406"/>
      <c r="B40" s="406"/>
      <c r="C40" s="406"/>
      <c r="D40" s="406"/>
      <c r="E40" s="406"/>
      <c r="F40" s="406"/>
      <c r="G40" s="406"/>
      <c r="H40" s="406"/>
      <c r="I40" s="406"/>
    </row>
    <row r="41" spans="1:17" ht="21" thickBot="1" x14ac:dyDescent="0.3">
      <c r="A41" s="407" t="s">
        <v>187</v>
      </c>
      <c r="B41" s="407"/>
      <c r="C41" s="407"/>
      <c r="D41" s="407"/>
      <c r="E41" s="407"/>
      <c r="F41" s="407"/>
      <c r="G41" s="407"/>
      <c r="H41" s="407"/>
      <c r="I41" s="407"/>
    </row>
    <row r="42" spans="1:17" ht="14" thickTop="1" x14ac:dyDescent="0.15"/>
    <row r="43" spans="1:17" ht="19" thickBot="1" x14ac:dyDescent="0.3">
      <c r="A43" s="419" t="s">
        <v>183</v>
      </c>
      <c r="B43" s="419"/>
      <c r="C43" s="419"/>
      <c r="D43" s="419"/>
      <c r="E43" s="419"/>
      <c r="F43" s="419"/>
      <c r="G43" s="300" t="s">
        <v>188</v>
      </c>
      <c r="I43" s="300" t="s">
        <v>189</v>
      </c>
    </row>
    <row r="44" spans="1:17" ht="28.25" customHeight="1" thickTop="1" x14ac:dyDescent="0.2">
      <c r="B44" s="405" t="s">
        <v>190</v>
      </c>
      <c r="C44" s="405"/>
      <c r="D44" s="405"/>
      <c r="E44" s="405"/>
      <c r="F44" s="405"/>
      <c r="G44" s="50">
        <f>'3a Budget plan'!$K$38</f>
        <v>0</v>
      </c>
      <c r="I44" s="50">
        <f>G44/52</f>
        <v>0</v>
      </c>
    </row>
    <row r="45" spans="1:17" ht="14" customHeight="1" x14ac:dyDescent="0.2">
      <c r="B45" s="405" t="s">
        <v>191</v>
      </c>
      <c r="C45" s="405"/>
      <c r="D45" s="405"/>
      <c r="E45" s="405"/>
      <c r="F45" s="405"/>
      <c r="G45" s="50">
        <f>'3a Budget plan'!$K$18</f>
        <v>0</v>
      </c>
      <c r="I45" s="50">
        <f t="shared" ref="I45:I47" si="0">G45/52</f>
        <v>0</v>
      </c>
    </row>
    <row r="46" spans="1:17" ht="14.5" customHeight="1" thickBot="1" x14ac:dyDescent="0.25">
      <c r="B46" s="405" t="str">
        <f xml:space="preserve"> "That leaves us with an operational " &amp; IF('3a Budget plan'!K40&lt;0, "shortfall","surplus") &amp; " of "</f>
        <v xml:space="preserve">That leaves us with an operational surplus of </v>
      </c>
      <c r="C46" s="405"/>
      <c r="D46" s="405"/>
      <c r="E46" s="405"/>
      <c r="F46" s="405"/>
      <c r="G46" s="229">
        <f>ABS('3a Budget plan'!$K$40)</f>
        <v>0</v>
      </c>
      <c r="I46" s="229">
        <f t="shared" si="0"/>
        <v>0</v>
      </c>
    </row>
    <row r="47" spans="1:17" ht="30" customHeight="1" thickTop="1" x14ac:dyDescent="0.2">
      <c r="B47" s="405" t="str">
        <f>IF(SUM('3a Budget plan'!K42:K43)&gt;0,"We plan to use some reserves and/or make legitimate use of restricted funds to help us bridge the gap","")</f>
        <v/>
      </c>
      <c r="C47" s="405"/>
      <c r="D47" s="405"/>
      <c r="E47" s="405"/>
      <c r="F47" s="405"/>
      <c r="G47" s="50">
        <f>SUM('3a Budget plan'!$K$42:$K$43)</f>
        <v>0</v>
      </c>
      <c r="I47" s="50">
        <f t="shared" si="0"/>
        <v>0</v>
      </c>
    </row>
    <row r="48" spans="1:17" ht="23" customHeight="1" thickBot="1" x14ac:dyDescent="0.25">
      <c r="B48" s="405" t="str">
        <f>"So our overall " &amp; IF('3a Budget plan'!K45&lt;0,"shortfall","surplus") &amp; " is "</f>
        <v xml:space="preserve">So our overall surplus is </v>
      </c>
      <c r="C48" s="405"/>
      <c r="D48" s="405"/>
      <c r="E48" s="405"/>
      <c r="F48" s="405"/>
      <c r="G48" s="230">
        <f>'3a Budget plan'!$K$45</f>
        <v>0</v>
      </c>
      <c r="I48" s="230" t="str">
        <f>'3a Budget plan'!$K$47</f>
        <v/>
      </c>
    </row>
    <row r="49" spans="1:9" ht="48.5" customHeight="1" thickTop="1" x14ac:dyDescent="0.2">
      <c r="B49" s="405" t="s">
        <v>192</v>
      </c>
      <c r="C49" s="405"/>
      <c r="D49" s="405"/>
      <c r="E49" s="405"/>
      <c r="F49" s="405"/>
      <c r="G49" s="50"/>
      <c r="I49" s="50" t="str">
        <f>'3a Budget plan'!$K$47</f>
        <v/>
      </c>
    </row>
    <row r="50" spans="1:9" ht="14" customHeight="1" x14ac:dyDescent="0.2">
      <c r="B50" s="408"/>
      <c r="C50" s="408"/>
      <c r="D50" s="408"/>
      <c r="E50" s="408"/>
      <c r="F50" s="408"/>
      <c r="H50" s="50"/>
    </row>
    <row r="51" spans="1:9" ht="409.25" customHeight="1" x14ac:dyDescent="0.2">
      <c r="B51" s="51"/>
      <c r="C51" s="51"/>
      <c r="D51" s="51"/>
      <c r="E51" s="51"/>
      <c r="F51" s="51"/>
      <c r="H51" s="50"/>
    </row>
    <row r="53" spans="1:9" ht="27" customHeight="1" x14ac:dyDescent="0.2">
      <c r="A53" s="404" t="s">
        <v>226</v>
      </c>
      <c r="B53" s="404"/>
      <c r="C53" s="404"/>
      <c r="D53" s="404"/>
      <c r="E53" s="404"/>
      <c r="F53" s="404"/>
      <c r="G53" s="404"/>
      <c r="H53" s="404"/>
      <c r="I53" s="404"/>
    </row>
    <row r="55" spans="1:9" ht="15" x14ac:dyDescent="0.2">
      <c r="A55" s="46"/>
      <c r="B55" s="46"/>
      <c r="C55" s="46"/>
      <c r="D55" s="46"/>
      <c r="F55" s="206" cm="1">
        <f t="array" ref="F55">_xlfn.IFS('1 Start here'!$C$11="",'3a Budget plan'!F2,'1 Start here'!$C$12="",'3a Budget plan'!G2,'1 Start here'!$C$13="",'3a Budget plan'!H2,TRUE,'3a Budget plan'!I2)</f>
        <v>0</v>
      </c>
      <c r="G55" s="207" t="s">
        <v>105</v>
      </c>
      <c r="I55" s="208">
        <f>'3a Budget plan'!$K$2</f>
        <v>0</v>
      </c>
    </row>
    <row r="56" spans="1:9" ht="15" x14ac:dyDescent="0.2">
      <c r="A56" s="46"/>
      <c r="B56" s="46"/>
      <c r="C56" s="46"/>
      <c r="D56" s="46"/>
      <c r="F56" s="206" t="s">
        <v>107</v>
      </c>
      <c r="G56" s="207" t="s">
        <v>108</v>
      </c>
      <c r="I56" s="208" t="s">
        <v>109</v>
      </c>
    </row>
    <row r="57" spans="1:9" ht="18" x14ac:dyDescent="0.25">
      <c r="A57" s="289" t="s">
        <v>35</v>
      </c>
      <c r="B57" s="289"/>
      <c r="C57" s="289"/>
      <c r="D57" s="289"/>
      <c r="F57" s="47"/>
      <c r="G57" s="47"/>
      <c r="I57" s="47"/>
    </row>
    <row r="58" spans="1:9" ht="14" x14ac:dyDescent="0.2">
      <c r="A58" s="386" t="s">
        <v>110</v>
      </c>
      <c r="B58" s="387"/>
      <c r="C58" s="399" t="str">
        <f>'3a Budget plan'!$B$5</f>
        <v>1. Tax efficient planned giving</v>
      </c>
      <c r="D58" s="399"/>
      <c r="E58" s="399"/>
      <c r="F58" s="304" cm="1">
        <f t="array" ref="F58">_xlfn.IFS('1 Start here'!$C$11="",'3a Budget plan'!F5,'1 Start here'!$C$12="",'3a Budget plan'!G5,'1 Start here'!$C$13="",'3a Budget plan'!H5,TRUE,'3a Budget plan'!I5)</f>
        <v>0</v>
      </c>
      <c r="G58" s="305">
        <f>'3a Budget plan'!$J$5</f>
        <v>0</v>
      </c>
      <c r="H58" s="306"/>
      <c r="I58" s="307">
        <f>'3a Budget plan'!$K$5</f>
        <v>0</v>
      </c>
    </row>
    <row r="59" spans="1:9" ht="14" x14ac:dyDescent="0.2">
      <c r="A59" s="388"/>
      <c r="B59" s="389"/>
      <c r="C59" s="395" t="str">
        <f>'3a Budget plan'!$B$6</f>
        <v>2. Other planned giving</v>
      </c>
      <c r="D59" s="395"/>
      <c r="E59" s="395"/>
      <c r="F59" s="77" cm="1">
        <f t="array" ref="F59">_xlfn.IFS('1 Start here'!$C$11="",'3a Budget plan'!F6,'1 Start here'!$C$12="",'3a Budget plan'!G6,'1 Start here'!$C$13="",'3a Budget plan'!H6,TRUE,'3a Budget plan'!I6)</f>
        <v>0</v>
      </c>
      <c r="G59" s="303">
        <f>'3a Budget plan'!$J$6</f>
        <v>0</v>
      </c>
      <c r="I59" s="308">
        <f>'3a Budget plan'!$K$6</f>
        <v>0</v>
      </c>
    </row>
    <row r="60" spans="1:9" ht="14" x14ac:dyDescent="0.2">
      <c r="A60" s="388"/>
      <c r="B60" s="389"/>
      <c r="C60" s="395" t="str">
        <f>'3a Budget plan'!$B$9</f>
        <v>6. Gift Aid recovered</v>
      </c>
      <c r="D60" s="395"/>
      <c r="E60" s="395"/>
      <c r="F60" s="77" cm="1">
        <f t="array" ref="F60">_xlfn.IFS('1 Start here'!$C$11="",'3a Budget plan'!F9,'1 Start here'!$C$12="",'3a Budget plan'!G9,'1 Start here'!$C$13="",'3a Budget plan'!H9,TRUE,'3a Budget plan'!I9)</f>
        <v>0</v>
      </c>
      <c r="G60" s="303">
        <f>'3a Budget plan'!$J$9</f>
        <v>0</v>
      </c>
      <c r="I60" s="308">
        <f>'3a Budget plan'!$K$9</f>
        <v>0</v>
      </c>
    </row>
    <row r="61" spans="1:9" ht="14" x14ac:dyDescent="0.2">
      <c r="A61" s="390"/>
      <c r="B61" s="391"/>
      <c r="C61" s="397" t="str">
        <f>'3a Budget plan'!$B$10</f>
        <v>6a. GASDS received</v>
      </c>
      <c r="D61" s="397"/>
      <c r="E61" s="397"/>
      <c r="F61" s="309" cm="1">
        <f t="array" ref="F61">_xlfn.IFS('1 Start here'!$C$11="",'3a Budget plan'!F10,'1 Start here'!$C$12="",'3a Budget plan'!G10,'1 Start here'!$C$13="",'3a Budget plan'!H10,TRUE,'3a Budget plan'!I10)</f>
        <v>0</v>
      </c>
      <c r="G61" s="310">
        <f>'3a Budget plan'!$J$10</f>
        <v>0</v>
      </c>
      <c r="H61" s="311"/>
      <c r="I61" s="312">
        <f>'3a Budget plan'!$K$10</f>
        <v>0</v>
      </c>
    </row>
    <row r="62" spans="1:9" ht="14" x14ac:dyDescent="0.2">
      <c r="A62" s="386" t="s">
        <v>111</v>
      </c>
      <c r="B62" s="387"/>
      <c r="C62" s="399" t="str">
        <f>'3a Budget plan'!$B$7</f>
        <v>3. Collections at services</v>
      </c>
      <c r="D62" s="399"/>
      <c r="E62" s="399"/>
      <c r="F62" s="304" cm="1">
        <f t="array" ref="F62">_xlfn.IFS('1 Start here'!$C$11="",'3a Budget plan'!F7,'1 Start here'!$C$12="",'3a Budget plan'!G7,'1 Start here'!$C$13="",'3a Budget plan'!H7,TRUE,'3a Budget plan'!I7)</f>
        <v>0</v>
      </c>
      <c r="G62" s="305">
        <f>'3a Budget plan'!$J$7</f>
        <v>0</v>
      </c>
      <c r="H62" s="306"/>
      <c r="I62" s="307">
        <f>'3a Budget plan'!$K$7</f>
        <v>0</v>
      </c>
    </row>
    <row r="63" spans="1:9" ht="14" x14ac:dyDescent="0.2">
      <c r="A63" s="388"/>
      <c r="B63" s="389"/>
      <c r="C63" s="395" t="str">
        <f>'3a Budget plan'!$B$8</f>
        <v>4. All other unrestricted giving</v>
      </c>
      <c r="D63" s="395"/>
      <c r="E63" s="395"/>
      <c r="F63" s="77" cm="1">
        <f t="array" ref="F63">_xlfn.IFS('1 Start here'!$C$11="",'3a Budget plan'!F8,'1 Start here'!$C$12="",'3a Budget plan'!G8,'1 Start here'!$C$13="",'3a Budget plan'!H8,TRUE,'3a Budget plan'!I8)</f>
        <v>0</v>
      </c>
      <c r="G63" s="303">
        <f>'3a Budget plan'!$J$8</f>
        <v>0</v>
      </c>
      <c r="I63" s="308">
        <f>'3a Budget plan'!$K$8</f>
        <v>0</v>
      </c>
    </row>
    <row r="64" spans="1:9" ht="14" x14ac:dyDescent="0.2">
      <c r="A64" s="388"/>
      <c r="B64" s="389"/>
      <c r="C64" s="395" t="str">
        <f>'3a Budget plan'!$B$11</f>
        <v>7. Legacies received</v>
      </c>
      <c r="D64" s="395"/>
      <c r="E64" s="395"/>
      <c r="F64" s="77" cm="1">
        <f t="array" ref="F64">_xlfn.IFS('1 Start here'!$C$11="",'3a Budget plan'!F11,'1 Start here'!$C$12="",'3a Budget plan'!G11,'1 Start here'!$C$13="",'3a Budget plan'!H11,TRUE,'3a Budget plan'!I11)</f>
        <v>0</v>
      </c>
      <c r="G64" s="303">
        <f>'3a Budget plan'!$J$11</f>
        <v>0</v>
      </c>
      <c r="I64" s="308">
        <f>'3a Budget plan'!$K$11</f>
        <v>0</v>
      </c>
    </row>
    <row r="65" spans="1:9" ht="14" x14ac:dyDescent="0.2">
      <c r="A65" s="388"/>
      <c r="B65" s="389"/>
      <c r="C65" s="395" t="str">
        <f>'3a Budget plan'!$B$12</f>
        <v>8. Grants</v>
      </c>
      <c r="D65" s="395"/>
      <c r="E65" s="395"/>
      <c r="F65" s="77" cm="1">
        <f t="array" ref="F65">_xlfn.IFS('1 Start here'!$C$11="",'3a Budget plan'!F12,'1 Start here'!$C$12="",'3a Budget plan'!G12,'1 Start here'!$C$13="",'3a Budget plan'!H12,TRUE,'3a Budget plan'!I12)</f>
        <v>0</v>
      </c>
      <c r="G65" s="303">
        <f>'3a Budget plan'!$J$12</f>
        <v>0</v>
      </c>
      <c r="I65" s="308">
        <f>'3a Budget plan'!$K$12</f>
        <v>0</v>
      </c>
    </row>
    <row r="66" spans="1:9" ht="14" x14ac:dyDescent="0.2">
      <c r="A66" s="390"/>
      <c r="B66" s="391"/>
      <c r="C66" s="397" t="str">
        <f>'3a Budget plan'!$B$13</f>
        <v>9. Income from fundraising activities</v>
      </c>
      <c r="D66" s="397"/>
      <c r="E66" s="397"/>
      <c r="F66" s="309" cm="1">
        <f t="array" ref="F66">_xlfn.IFS('1 Start here'!$C$11="",'3a Budget plan'!F13,'1 Start here'!$C$12="",'3a Budget plan'!G13,'1 Start here'!$C$13="",'3a Budget plan'!H13,TRUE,'3a Budget plan'!I13)</f>
        <v>0</v>
      </c>
      <c r="G66" s="310">
        <f>'3a Budget plan'!$J$13</f>
        <v>0</v>
      </c>
      <c r="H66" s="311"/>
      <c r="I66" s="312">
        <f>'3a Budget plan'!$K$13</f>
        <v>0</v>
      </c>
    </row>
    <row r="67" spans="1:9" ht="14" x14ac:dyDescent="0.2">
      <c r="A67" s="386" t="s">
        <v>112</v>
      </c>
      <c r="B67" s="387"/>
      <c r="C67" s="399" t="str">
        <f>'3a Budget plan'!$B$14</f>
        <v xml:space="preserve">10. Dividends, interest, income from property etc. </v>
      </c>
      <c r="D67" s="399"/>
      <c r="E67" s="399"/>
      <c r="F67" s="304" cm="1">
        <f t="array" ref="F67">_xlfn.IFS('1 Start here'!$C$11="",'3a Budget plan'!F14,'1 Start here'!$C$12="",'3a Budget plan'!G14,'1 Start here'!$C$13="",'3a Budget plan'!H14,TRUE,'3a Budget plan'!I14)</f>
        <v>0</v>
      </c>
      <c r="G67" s="305">
        <f>'3a Budget plan'!$J$14</f>
        <v>0</v>
      </c>
      <c r="H67" s="306"/>
      <c r="I67" s="307">
        <f>'3a Budget plan'!$K$14</f>
        <v>0</v>
      </c>
    </row>
    <row r="68" spans="1:9" ht="14" x14ac:dyDescent="0.2">
      <c r="A68" s="388"/>
      <c r="B68" s="389"/>
      <c r="C68" s="395" t="str">
        <f>'3a Budget plan'!$B$15</f>
        <v>11. Statutory fees retained by the PCC</v>
      </c>
      <c r="D68" s="395"/>
      <c r="E68" s="395"/>
      <c r="F68" s="77" cm="1">
        <f t="array" ref="F68">_xlfn.IFS('1 Start here'!$C$11="",'3a Budget plan'!F15,'1 Start here'!$C$12="",'3a Budget plan'!G15,'1 Start here'!$C$13="",'3a Budget plan'!H15,TRUE,'3a Budget plan'!I15)</f>
        <v>0</v>
      </c>
      <c r="G68" s="303">
        <f>'3a Budget plan'!$J$15</f>
        <v>0</v>
      </c>
      <c r="I68" s="308">
        <f>'3a Budget plan'!$K$15</f>
        <v>0</v>
      </c>
    </row>
    <row r="69" spans="1:9" ht="14" x14ac:dyDescent="0.2">
      <c r="A69" s="390"/>
      <c r="B69" s="391"/>
      <c r="C69" s="397" t="str">
        <f>'3a Budget plan'!$B$16</f>
        <v>12. Trading activities (gross proceeds)</v>
      </c>
      <c r="D69" s="397"/>
      <c r="E69" s="397"/>
      <c r="F69" s="309" cm="1">
        <f t="array" ref="F69">_xlfn.IFS('1 Start here'!$C$11="",'3a Budget plan'!F16,'1 Start here'!$C$12="",'3a Budget plan'!G16,'1 Start here'!$C$13="",'3a Budget plan'!H16,TRUE,'3a Budget plan'!I16)</f>
        <v>0</v>
      </c>
      <c r="G69" s="310">
        <f>'3a Budget plan'!$J$16</f>
        <v>0</v>
      </c>
      <c r="H69" s="311"/>
      <c r="I69" s="312">
        <f>'3a Budget plan'!$K$16</f>
        <v>0</v>
      </c>
    </row>
    <row r="70" spans="1:9" ht="14" x14ac:dyDescent="0.2">
      <c r="A70" s="392" t="s">
        <v>113</v>
      </c>
      <c r="B70" s="393"/>
      <c r="C70" s="400" t="str">
        <f>'3a Budget plan'!$B$17</f>
        <v>13. Any other income / receipts</v>
      </c>
      <c r="D70" s="400"/>
      <c r="E70" s="400"/>
      <c r="F70" s="313" cm="1">
        <f t="array" ref="F70">_xlfn.IFS('1 Start here'!$C$11="",'3a Budget plan'!F17,'1 Start here'!$C$12="",'3a Budget plan'!G17,'1 Start here'!$C$13="",'3a Budget plan'!H17,TRUE,'3a Budget plan'!I17)</f>
        <v>0</v>
      </c>
      <c r="G70" s="314">
        <f>'3a Budget plan'!$J$17</f>
        <v>0</v>
      </c>
      <c r="H70" s="315"/>
      <c r="I70" s="316">
        <f>'3a Budget plan'!$K$17</f>
        <v>0</v>
      </c>
    </row>
    <row r="71" spans="1:9" ht="16" thickBot="1" x14ac:dyDescent="0.25">
      <c r="A71" s="302"/>
      <c r="B71" s="302"/>
      <c r="C71" s="301"/>
      <c r="E71" s="53" t="s">
        <v>58</v>
      </c>
      <c r="F71" s="78">
        <f>SUM(F58:F70)</f>
        <v>0</v>
      </c>
      <c r="G71" s="80">
        <f>SUM(G58:G70)</f>
        <v>0</v>
      </c>
      <c r="I71" s="82">
        <f>SUM(I58:I70)</f>
        <v>0</v>
      </c>
    </row>
    <row r="72" spans="1:9" ht="16" thickTop="1" x14ac:dyDescent="0.2">
      <c r="A72" s="46"/>
      <c r="C72" s="46"/>
      <c r="D72" s="53"/>
      <c r="E72" s="47"/>
      <c r="F72" s="47"/>
      <c r="G72" s="47"/>
    </row>
    <row r="73" spans="1:9" ht="18" x14ac:dyDescent="0.25">
      <c r="A73" s="289" t="s">
        <v>59</v>
      </c>
      <c r="B73" s="289"/>
      <c r="C73" s="289"/>
      <c r="D73" s="289"/>
      <c r="E73" s="47"/>
      <c r="F73" s="47"/>
      <c r="G73" s="47"/>
    </row>
    <row r="74" spans="1:9" ht="14" x14ac:dyDescent="0.2">
      <c r="A74" s="386" t="s">
        <v>114</v>
      </c>
      <c r="B74" s="387"/>
      <c r="C74" s="398" t="str">
        <f>'3a Budget plan'!$B$21</f>
        <v>17. Fund-raising activites</v>
      </c>
      <c r="D74" s="399"/>
      <c r="E74" s="399"/>
      <c r="F74" s="304" cm="1">
        <f t="array" ref="F74">_xlfn.IFS('1 Start here'!$C$11="",'3a Budget plan'!F21,'1 Start here'!$C$12="",'3a Budget plan'!G21,'1 Start here'!$C$13="",'3a Budget plan'!H21,TRUE,'3a Budget plan'!I21)</f>
        <v>0</v>
      </c>
      <c r="G74" s="305">
        <f>'3a Budget plan'!$J$21</f>
        <v>0</v>
      </c>
      <c r="H74" s="306"/>
      <c r="I74" s="307">
        <f>'3a Budget plan'!$K$21</f>
        <v>0</v>
      </c>
    </row>
    <row r="75" spans="1:9" ht="14" x14ac:dyDescent="0.2">
      <c r="A75" s="388"/>
      <c r="B75" s="389"/>
      <c r="C75" s="394" t="str">
        <f>'3a Budget plan'!$B$22</f>
        <v>18. Mission giving and donations</v>
      </c>
      <c r="D75" s="395"/>
      <c r="E75" s="395"/>
      <c r="F75" s="77" cm="1">
        <f t="array" ref="F75">_xlfn.IFS('1 Start here'!$C$11="",'3a Budget plan'!F22,'1 Start here'!$C$12="",'3a Budget plan'!G22,'1 Start here'!$C$13="",'3a Budget plan'!H22,TRUE,'3a Budget plan'!I22)</f>
        <v>0</v>
      </c>
      <c r="G75" s="303">
        <f>'3a Budget plan'!$J$22</f>
        <v>0</v>
      </c>
      <c r="I75" s="308">
        <f>'3a Budget plan'!$K$22</f>
        <v>0</v>
      </c>
    </row>
    <row r="76" spans="1:9" ht="14" x14ac:dyDescent="0.2">
      <c r="A76" s="388"/>
      <c r="B76" s="389"/>
      <c r="C76" s="394" t="str">
        <f>'3a Budget plan'!$B$24</f>
        <v>20. Salaries, wages and honararia</v>
      </c>
      <c r="D76" s="395"/>
      <c r="E76" s="395"/>
      <c r="F76" s="77" cm="1">
        <f t="array" ref="F76">_xlfn.IFS('1 Start here'!$C$11="",'3a Budget plan'!F24,'1 Start here'!$C$12="",'3a Budget plan'!G24,'1 Start here'!$C$13="",'3a Budget plan'!H24,TRUE,'3a Budget plan'!I24)</f>
        <v>0</v>
      </c>
      <c r="G76" s="303">
        <f>'3a Budget plan'!$J$24</f>
        <v>0</v>
      </c>
      <c r="I76" s="308">
        <f>'3a Budget plan'!$K$24</f>
        <v>0</v>
      </c>
    </row>
    <row r="77" spans="1:9" ht="14" x14ac:dyDescent="0.2">
      <c r="A77" s="388"/>
      <c r="B77" s="389"/>
      <c r="C77" s="394" t="str">
        <f>'3a Budget plan'!$B$26</f>
        <v>22. Mission and evangelism costs</v>
      </c>
      <c r="D77" s="395"/>
      <c r="E77" s="395"/>
      <c r="F77" s="77" cm="1">
        <f t="array" ref="F77">_xlfn.IFS('1 Start here'!$C$11="",'3a Budget plan'!F26,'1 Start here'!$C$12="",'3a Budget plan'!G26,'1 Start here'!$C$13="",'3a Budget plan'!H26,TRUE,'3a Budget plan'!I26)</f>
        <v>0</v>
      </c>
      <c r="G77" s="303">
        <f>'3a Budget plan'!$J$26</f>
        <v>0</v>
      </c>
      <c r="I77" s="308">
        <f>'3a Budget plan'!$K$26</f>
        <v>0</v>
      </c>
    </row>
    <row r="78" spans="1:9" ht="14" x14ac:dyDescent="0.2">
      <c r="A78" s="390"/>
      <c r="B78" s="391"/>
      <c r="C78" s="396" t="str">
        <f>'3a Budget plan'!$B$31</f>
        <v>25. Cost of trading</v>
      </c>
      <c r="D78" s="397"/>
      <c r="E78" s="397"/>
      <c r="F78" s="309" cm="1">
        <f t="array" ref="F78">_xlfn.IFS('1 Start here'!$C$11="",'3a Budget plan'!F31,'1 Start here'!$C$12="",'3a Budget plan'!G31,'1 Start here'!$C$13="",'3a Budget plan'!H31,TRUE,'3a Budget plan'!I31)</f>
        <v>0</v>
      </c>
      <c r="G78" s="310">
        <f>'3a Budget plan'!$J$31</f>
        <v>0</v>
      </c>
      <c r="H78" s="311"/>
      <c r="I78" s="312">
        <f>'3a Budget plan'!$K$31</f>
        <v>0</v>
      </c>
    </row>
    <row r="79" spans="1:9" ht="14" x14ac:dyDescent="0.2">
      <c r="A79" s="386" t="s">
        <v>115</v>
      </c>
      <c r="B79" s="387"/>
      <c r="C79" s="398" t="str">
        <f>'3a Budget plan'!$B$23</f>
        <v>19. Deanery Share / Parish Share contribution</v>
      </c>
      <c r="D79" s="399"/>
      <c r="E79" s="399"/>
      <c r="F79" s="304" cm="1">
        <f t="array" ref="F79">_xlfn.IFS('1 Start here'!$C$11="",'3a Budget plan'!F23,'1 Start here'!$C$12="",'3a Budget plan'!G23,'1 Start here'!$C$13="",'3a Budget plan'!H23,TRUE,'3a Budget plan'!I23)</f>
        <v>0</v>
      </c>
      <c r="G79" s="305">
        <f>'3a Budget plan'!$J$23</f>
        <v>0</v>
      </c>
      <c r="H79" s="306"/>
      <c r="I79" s="307">
        <f>'3a Budget plan'!$K$23</f>
        <v>0</v>
      </c>
    </row>
    <row r="80" spans="1:9" ht="14" x14ac:dyDescent="0.2">
      <c r="A80" s="388"/>
      <c r="B80" s="389"/>
      <c r="C80" s="394" t="str">
        <f>'3a Budget plan'!$B$25</f>
        <v>21. Clergy and staff expenses</v>
      </c>
      <c r="D80" s="395"/>
      <c r="E80" s="395"/>
      <c r="F80" s="77" cm="1">
        <f t="array" ref="F80">_xlfn.IFS('1 Start here'!$C$11="",'3a Budget plan'!F25,'1 Start here'!$C$12="",'3a Budget plan'!G25,'1 Start here'!$C$13="",'3a Budget plan'!H25,TRUE,'3a Budget plan'!I25)</f>
        <v>0</v>
      </c>
      <c r="G80" s="303">
        <f>'3a Budget plan'!$J$25</f>
        <v>0</v>
      </c>
      <c r="I80" s="308">
        <f>'3a Budget plan'!$K$25</f>
        <v>0</v>
      </c>
    </row>
    <row r="81" spans="1:9" ht="14" customHeight="1" x14ac:dyDescent="0.2">
      <c r="A81" s="386" t="s">
        <v>116</v>
      </c>
      <c r="B81" s="387"/>
      <c r="C81" s="398" t="str">
        <f>'3a Budget plan'!$B$27</f>
        <v>23a. Church running expenses (inc. Governance)</v>
      </c>
      <c r="D81" s="399"/>
      <c r="E81" s="399"/>
      <c r="F81" s="304" cm="1">
        <f t="array" ref="F81">_xlfn.IFS('1 Start here'!$C$11="",'3a Budget plan'!F27,'1 Start here'!$C$12="",'3a Budget plan'!G27,'1 Start here'!$C$13="",'3a Budget plan'!H27,TRUE,'3a Budget plan'!I27)</f>
        <v>0</v>
      </c>
      <c r="G81" s="305">
        <f>'3a Budget plan'!$J$27</f>
        <v>0</v>
      </c>
      <c r="H81" s="306"/>
      <c r="I81" s="307">
        <f>'3a Budget plan'!$K$27</f>
        <v>0</v>
      </c>
    </row>
    <row r="82" spans="1:9" ht="14" x14ac:dyDescent="0.2">
      <c r="A82" s="388"/>
      <c r="B82" s="389"/>
      <c r="C82" s="394" t="str">
        <f>'3a Budget plan'!$B$28</f>
        <v>23b. Church building maintenance costs</v>
      </c>
      <c r="D82" s="395"/>
      <c r="E82" s="395"/>
      <c r="F82" s="77" cm="1">
        <f t="array" ref="F82">_xlfn.IFS('1 Start here'!$C$11="",'3a Budget plan'!F28,'1 Start here'!$C$12="",'3a Budget plan'!G28,'1 Start here'!$C$13="",'3a Budget plan'!H28,TRUE,'3a Budget plan'!I28)</f>
        <v>0</v>
      </c>
      <c r="G82" s="303">
        <f>'3a Budget plan'!$J$28</f>
        <v>0</v>
      </c>
      <c r="I82" s="308">
        <f>'3a Budget plan'!$K$28</f>
        <v>0</v>
      </c>
    </row>
    <row r="83" spans="1:9" ht="14" x14ac:dyDescent="0.2">
      <c r="A83" s="388"/>
      <c r="B83" s="389"/>
      <c r="C83" s="394" t="str">
        <f>'3a Budget plan'!$B$29</f>
        <v>23c. Church building insurance (inc. contents)</v>
      </c>
      <c r="D83" s="395"/>
      <c r="E83" s="395"/>
      <c r="F83" s="77" cm="1">
        <f t="array" ref="F83">_xlfn.IFS('1 Start here'!$C$11="",'3a Budget plan'!F29,'1 Start here'!$C$12="",'3a Budget plan'!G29,'1 Start here'!$C$13="",'3a Budget plan'!H29,TRUE,'3a Budget plan'!I29)</f>
        <v>0</v>
      </c>
      <c r="G83" s="303">
        <f>'3a Budget plan'!$J$29</f>
        <v>0</v>
      </c>
      <c r="I83" s="308">
        <f>'3a Budget plan'!$K$29</f>
        <v>0</v>
      </c>
    </row>
    <row r="84" spans="1:9" ht="14" x14ac:dyDescent="0.2">
      <c r="A84" s="390"/>
      <c r="B84" s="391"/>
      <c r="C84" s="396" t="str">
        <f>'3a Budget plan'!$B$30</f>
        <v>24. Church utility bills</v>
      </c>
      <c r="D84" s="397"/>
      <c r="E84" s="397"/>
      <c r="F84" s="309" cm="1">
        <f t="array" ref="F84">_xlfn.IFS('1 Start here'!$C$11="",'3a Budget plan'!F30,'1 Start here'!$C$12="",'3a Budget plan'!G30,'1 Start here'!$C$13="",'3a Budget plan'!H30,TRUE,'3a Budget plan'!I30)</f>
        <v>0</v>
      </c>
      <c r="G84" s="310">
        <f>'3a Budget plan'!$J$30</f>
        <v>0</v>
      </c>
      <c r="H84" s="311"/>
      <c r="I84" s="312">
        <f>'3a Budget plan'!$K$30</f>
        <v>0</v>
      </c>
    </row>
    <row r="85" spans="1:9" ht="14" x14ac:dyDescent="0.2">
      <c r="A85" s="386" t="s">
        <v>117</v>
      </c>
      <c r="B85" s="387"/>
      <c r="C85" s="398" t="str">
        <f>'3a Budget plan'!$B$32</f>
        <v>27. Major repairs to the church building</v>
      </c>
      <c r="D85" s="399"/>
      <c r="E85" s="399"/>
      <c r="F85" s="304" cm="1">
        <f t="array" ref="F85">_xlfn.IFS('1 Start here'!$C$11="",'3a Budget plan'!F32,'1 Start here'!$C$12="",'3a Budget plan'!G32,'1 Start here'!$C$13="",'3a Budget plan'!H32,TRUE,'3a Budget plan'!I32)</f>
        <v>0</v>
      </c>
      <c r="G85" s="305">
        <f>'3a Budget plan'!$J$32</f>
        <v>0</v>
      </c>
      <c r="H85" s="306"/>
      <c r="I85" s="307">
        <f>'3a Budget plan'!$K$32</f>
        <v>0</v>
      </c>
    </row>
    <row r="86" spans="1:9" ht="14" customHeight="1" x14ac:dyDescent="0.2">
      <c r="A86" s="388"/>
      <c r="B86" s="389"/>
      <c r="C86" s="394" t="str">
        <f>'3a Budget plan'!$B$33</f>
        <v>28. Major repairs to PCC property</v>
      </c>
      <c r="D86" s="395"/>
      <c r="E86" s="395"/>
      <c r="F86" s="77" cm="1">
        <f t="array" ref="F86">_xlfn.IFS('1 Start here'!$C$11="",'3a Budget plan'!F33,'1 Start here'!$C$12="",'3a Budget plan'!G33,'1 Start here'!$C$13="",'3a Budget plan'!H33,TRUE,'3a Budget plan'!I33)</f>
        <v>0</v>
      </c>
      <c r="G86" s="303">
        <f>'3a Budget plan'!$J$33</f>
        <v>0</v>
      </c>
      <c r="I86" s="308">
        <f>'3a Budget plan'!$K$33</f>
        <v>0</v>
      </c>
    </row>
    <row r="87" spans="1:9" ht="14" x14ac:dyDescent="0.2">
      <c r="A87" s="388"/>
      <c r="B87" s="389"/>
      <c r="C87" s="394" t="str">
        <f>'3a Budget plan'!$B$34</f>
        <v>29. New building work</v>
      </c>
      <c r="D87" s="395"/>
      <c r="E87" s="395"/>
      <c r="F87" s="77" cm="1">
        <f t="array" ref="F87">_xlfn.IFS('1 Start here'!$C$11="",'3a Budget plan'!F34,'1 Start here'!$C$12="",'3a Budget plan'!G34,'1 Start here'!$C$13="",'3a Budget plan'!H34,TRUE,'3a Budget plan'!I34)</f>
        <v>0</v>
      </c>
      <c r="G87" s="303">
        <f>'3a Budget plan'!$J$34</f>
        <v>0</v>
      </c>
      <c r="I87" s="308">
        <f>'3a Budget plan'!$K$34</f>
        <v>0</v>
      </c>
    </row>
    <row r="88" spans="1:9" ht="14" x14ac:dyDescent="0.2">
      <c r="A88" s="388"/>
      <c r="B88" s="389"/>
      <c r="C88" s="394" t="str">
        <f>'3a Budget plan'!$C$35</f>
        <v>New activity 1</v>
      </c>
      <c r="D88" s="395"/>
      <c r="E88" s="395"/>
      <c r="F88" s="77" cm="1">
        <f t="array" ref="F88">_xlfn.IFS('1 Start here'!$C$11="",'3a Budget plan'!F35,'1 Start here'!$C$12="",'3a Budget plan'!G35,'1 Start here'!$C$13="",'3a Budget plan'!H35,TRUE,'3a Budget plan'!I35)</f>
        <v>0</v>
      </c>
      <c r="G88" s="303">
        <f>'3a Budget plan'!$J$35</f>
        <v>0</v>
      </c>
      <c r="I88" s="308">
        <f>'3a Budget plan'!$K$35</f>
        <v>0</v>
      </c>
    </row>
    <row r="89" spans="1:9" ht="14" x14ac:dyDescent="0.2">
      <c r="A89" s="388"/>
      <c r="B89" s="389"/>
      <c r="C89" s="394" t="str">
        <f>'3a Budget plan'!$C$36</f>
        <v>New activity 2</v>
      </c>
      <c r="D89" s="395"/>
      <c r="E89" s="395"/>
      <c r="F89" s="77" cm="1">
        <f t="array" ref="F89">_xlfn.IFS('1 Start here'!$C$11="",'3a Budget plan'!F36,'1 Start here'!$C$12="",'3a Budget plan'!G36,'1 Start here'!$C$13="",'3a Budget plan'!H36,TRUE,'3a Budget plan'!I36)</f>
        <v>0</v>
      </c>
      <c r="G89" s="303">
        <f>'3a Budget plan'!$J$36</f>
        <v>0</v>
      </c>
      <c r="I89" s="308">
        <f>'3a Budget plan'!$K$36</f>
        <v>0</v>
      </c>
    </row>
    <row r="90" spans="1:9" ht="14" x14ac:dyDescent="0.2">
      <c r="A90" s="390"/>
      <c r="B90" s="391"/>
      <c r="C90" s="396" t="str">
        <f>'3a Budget plan'!$C$37</f>
        <v>New activity 3</v>
      </c>
      <c r="D90" s="397"/>
      <c r="E90" s="397"/>
      <c r="F90" s="309" cm="1">
        <f t="array" ref="F90">_xlfn.IFS('1 Start here'!$C$11="",'3a Budget plan'!F37,'1 Start here'!$C$12="",'3a Budget plan'!G37,'1 Start here'!$C$13="",'3a Budget plan'!H37,TRUE,'3a Budget plan'!I37)</f>
        <v>0</v>
      </c>
      <c r="G90" s="310">
        <f>'3a Budget plan'!$J$37</f>
        <v>0</v>
      </c>
      <c r="H90" s="311"/>
      <c r="I90" s="312">
        <f>'3a Budget plan'!$K$37</f>
        <v>0</v>
      </c>
    </row>
    <row r="91" spans="1:9" ht="16" thickBot="1" x14ac:dyDescent="0.25">
      <c r="A91" s="46"/>
      <c r="B91" s="46"/>
      <c r="C91" s="46"/>
      <c r="E91" s="52" t="s">
        <v>79</v>
      </c>
      <c r="F91" s="78">
        <f>SUM(F74:F90)</f>
        <v>0</v>
      </c>
      <c r="G91" s="80">
        <f>SUM(G74:G90)</f>
        <v>0</v>
      </c>
      <c r="I91" s="82">
        <f>SUM(I74:I90)</f>
        <v>0</v>
      </c>
    </row>
    <row r="92" spans="1:9" ht="15" thickTop="1" x14ac:dyDescent="0.2">
      <c r="A92" s="46"/>
      <c r="B92" s="46"/>
      <c r="C92" s="46"/>
      <c r="E92" s="46"/>
      <c r="F92" s="47"/>
      <c r="G92" s="47"/>
      <c r="I92" s="47"/>
    </row>
    <row r="93" spans="1:9" ht="16" thickBot="1" x14ac:dyDescent="0.25">
      <c r="A93" s="46"/>
      <c r="C93" s="46"/>
      <c r="E93" s="53" t="s">
        <v>80</v>
      </c>
      <c r="F93" s="79">
        <f>F71-F91</f>
        <v>0</v>
      </c>
      <c r="G93" s="81">
        <f>G71-G91</f>
        <v>0</v>
      </c>
      <c r="I93" s="83">
        <f>I71-I91</f>
        <v>0</v>
      </c>
    </row>
    <row r="94" spans="1:9" ht="16" thickTop="1" x14ac:dyDescent="0.2">
      <c r="A94" s="46"/>
      <c r="C94" s="46"/>
      <c r="D94" s="53"/>
      <c r="E94" s="176"/>
      <c r="F94" s="176"/>
      <c r="G94" s="176"/>
    </row>
    <row r="95" spans="1:9" ht="18" x14ac:dyDescent="0.25">
      <c r="A95" s="412" t="str">
        <f>'3a Budget plan'!B41</f>
        <v>Use of Reserves</v>
      </c>
      <c r="B95" s="413"/>
      <c r="C95" s="413"/>
      <c r="D95" s="413"/>
      <c r="E95" s="176"/>
      <c r="F95" s="176"/>
      <c r="G95" s="176"/>
    </row>
    <row r="96" spans="1:9" ht="15" x14ac:dyDescent="0.2">
      <c r="C96" s="46" t="str">
        <f>'3a Budget plan'!B42</f>
        <v>Use of unrestricted reserves</v>
      </c>
      <c r="D96" s="53"/>
      <c r="E96" s="176"/>
      <c r="F96" s="176"/>
      <c r="I96" s="177">
        <f>'3a Budget plan'!$K$42</f>
        <v>0</v>
      </c>
    </row>
    <row r="97" spans="1:17" ht="15" x14ac:dyDescent="0.2">
      <c r="C97" s="46" t="str">
        <f>'3a Budget plan'!B43</f>
        <v>Legitimate use of restricted funds</v>
      </c>
      <c r="D97" s="53"/>
      <c r="E97" s="176"/>
      <c r="F97" s="176"/>
      <c r="I97" s="177">
        <f>'3a Budget plan'!$K$43</f>
        <v>0</v>
      </c>
    </row>
    <row r="98" spans="1:17" ht="14" x14ac:dyDescent="0.2">
      <c r="A98" s="46"/>
      <c r="B98" s="46"/>
      <c r="C98" s="46"/>
      <c r="D98" s="46"/>
      <c r="E98" s="46"/>
      <c r="F98" s="47"/>
      <c r="I98" s="47"/>
    </row>
    <row r="99" spans="1:17" ht="18" customHeight="1" thickBot="1" x14ac:dyDescent="0.25">
      <c r="A99" s="46"/>
      <c r="B99" s="46"/>
      <c r="C99" s="46"/>
      <c r="D99" s="46"/>
      <c r="E99" s="46"/>
      <c r="G99" s="53" t="str">
        <f>'3a Budget plan'!J45</f>
        <v xml:space="preserve">Overall Surplus/Shortfall  </v>
      </c>
      <c r="I99" s="162">
        <f>I93+I96+I97</f>
        <v>0</v>
      </c>
    </row>
    <row r="100" spans="1:17" ht="18" customHeight="1" thickTop="1" x14ac:dyDescent="0.2">
      <c r="A100" s="46"/>
      <c r="B100" s="46"/>
      <c r="C100" s="46"/>
      <c r="D100" s="46"/>
      <c r="E100" s="46"/>
      <c r="F100" s="47"/>
      <c r="G100" s="47"/>
      <c r="H100" s="47"/>
    </row>
    <row r="101" spans="1:17" ht="18" customHeight="1" x14ac:dyDescent="0.25">
      <c r="A101" s="46"/>
      <c r="B101" s="46"/>
      <c r="C101" s="355" t="str">
        <f>'3a Budget plan'!F47</f>
        <v>No increase in planned giving required</v>
      </c>
      <c r="D101" s="355"/>
      <c r="E101" s="355"/>
      <c r="F101" s="355"/>
      <c r="G101" s="355"/>
      <c r="I101" s="173" t="str">
        <f>'3a Budget plan'!$K$47</f>
        <v/>
      </c>
    </row>
    <row r="102" spans="1:17" ht="14" x14ac:dyDescent="0.2">
      <c r="A102" s="46"/>
      <c r="B102" s="46"/>
      <c r="C102" s="46"/>
      <c r="D102" s="46"/>
      <c r="E102" s="46"/>
      <c r="F102" s="47"/>
      <c r="G102" s="35"/>
      <c r="H102" s="204" t="str">
        <f>'3a Budget plan'!K48</f>
        <v/>
      </c>
    </row>
    <row r="103" spans="1:17" ht="18" customHeight="1" thickBot="1" x14ac:dyDescent="0.3">
      <c r="A103" s="407" t="s">
        <v>194</v>
      </c>
      <c r="B103" s="407"/>
      <c r="C103" s="407"/>
      <c r="D103" s="407"/>
      <c r="E103" s="407"/>
      <c r="F103" s="407"/>
      <c r="G103" s="407"/>
      <c r="H103" s="407"/>
      <c r="I103" s="407"/>
    </row>
    <row r="104" spans="1:17" ht="55.25" customHeight="1" thickTop="1" x14ac:dyDescent="0.2">
      <c r="A104" s="408" t="s">
        <v>195</v>
      </c>
      <c r="B104" s="408"/>
      <c r="C104" s="408"/>
      <c r="D104" s="408"/>
      <c r="E104" s="408"/>
      <c r="F104" s="408"/>
      <c r="G104" s="408"/>
      <c r="H104" s="408"/>
      <c r="I104" s="408"/>
    </row>
    <row r="105" spans="1:17" ht="23.5" customHeight="1" x14ac:dyDescent="0.2">
      <c r="A105" s="408" t="str">
        <f>"Read the table as a whole:"</f>
        <v>Read the table as a whole:</v>
      </c>
      <c r="B105" s="408"/>
      <c r="C105" s="408"/>
      <c r="D105" s="408"/>
      <c r="E105" s="408"/>
      <c r="F105" s="408"/>
      <c r="G105" s="408"/>
      <c r="H105" s="408"/>
      <c r="I105" s="408"/>
    </row>
    <row r="106" spans="1:17" ht="14" x14ac:dyDescent="0.2">
      <c r="A106" s="408" t="str">
        <f>"&gt; It will take " &amp; C117 &amp; " people to give an extra " &amp; TEXT(F117,"£#,##0") &amp; " per week between them, in addition to their current giving."</f>
        <v>&gt; It will take 0 people to give an extra £0 per week between them, in addition to their current giving.</v>
      </c>
      <c r="B106" s="408"/>
      <c r="C106" s="408"/>
      <c r="D106" s="408"/>
      <c r="E106" s="408"/>
      <c r="F106" s="408"/>
      <c r="G106" s="408"/>
      <c r="H106" s="408"/>
      <c r="I106" s="408"/>
    </row>
    <row r="107" spans="1:17" ht="13.25" customHeight="1" x14ac:dyDescent="0.2">
      <c r="A107" s="408" t="str">
        <f xml:space="preserve"> "&gt; So we need " &amp; C110 &amp; IF(C110=1," person"," people") &amp; " to give an extra " &amp; TEXT(D110,"£#,##0.00") &amp; " per week, AND " &amp; C111 &amp; IF(C111=1," person"," people") &amp; " to give an extra " &amp; TEXT(D111,"£#,##0.00") &amp; " per week, AND … ..."</f>
        <v>&gt; So we need 0 people to give an extra  per week, AND 0 people to give an extra  per week, AND … ...</v>
      </c>
      <c r="B107" s="408"/>
      <c r="C107" s="408"/>
      <c r="D107" s="408"/>
      <c r="E107" s="408"/>
      <c r="F107" s="408"/>
      <c r="G107" s="408"/>
      <c r="H107" s="408"/>
      <c r="I107" s="408"/>
    </row>
    <row r="108" spans="1:17" ht="15.5" customHeight="1" thickBot="1" x14ac:dyDescent="0.2">
      <c r="K108" s="44"/>
      <c r="L108" s="44"/>
      <c r="M108" s="44"/>
      <c r="N108" s="44"/>
      <c r="O108" s="44"/>
      <c r="P108" s="44"/>
      <c r="Q108" s="44"/>
    </row>
    <row r="109" spans="1:17" s="44" customFormat="1" ht="53" customHeight="1" x14ac:dyDescent="0.2">
      <c r="C109" s="85" t="str">
        <f>IF('3b Gift array'!$F$31 = "No",'3b Gift array'!B8,'3b Gift array'!B21)</f>
        <v>If this many people…</v>
      </c>
      <c r="D109" s="84" t="str">
        <f>IF('3b Gift array'!$F$31 = "No",'3b Gift array'!C8,'3b Gift array'!C21)</f>
        <v>…each increase their weekly giving by…</v>
      </c>
      <c r="E109" s="84" t="str">
        <f>IF('3b Gift array'!$F$31 = "No",'3b Gift array'!E8,'3b Gift array'!E21)</f>
        <v>…or their monthly giving by…</v>
      </c>
      <c r="F109" s="84" t="str">
        <f>IF('3b Gift array'!$F$31 = "No",'3b Gift array'!F8,'3b Gift array'!F21)</f>
        <v>…we will raise extra weekly income</v>
      </c>
      <c r="K109"/>
      <c r="L109"/>
      <c r="M109"/>
      <c r="N109"/>
      <c r="O109"/>
      <c r="P109"/>
      <c r="Q109"/>
    </row>
    <row r="110" spans="1:17" ht="14" x14ac:dyDescent="0.2">
      <c r="C110" s="55">
        <f>IF('3b Gift array'!$F$31 = "No",'3b Gift array'!B9,'3b Gift array'!B22)</f>
        <v>0</v>
      </c>
      <c r="D110" s="54" t="str">
        <f>IF('3b Gift array'!$F$31 = "No",'3b Gift array'!C9,'3b Gift array'!C22)</f>
        <v/>
      </c>
      <c r="E110" s="59" t="str">
        <f>IF('3b Gift array'!$F$31 = "No",'3b Gift array'!E9,'3b Gift array'!E22)</f>
        <v/>
      </c>
      <c r="F110" s="91">
        <f>IF('3b Gift array'!$F$31 = "No",'3b Gift array'!F9,'3b Gift array'!F22)</f>
        <v>0</v>
      </c>
    </row>
    <row r="111" spans="1:17" ht="14" x14ac:dyDescent="0.2">
      <c r="C111" s="87">
        <f>IF('3b Gift array'!$F$31 = "No",'3b Gift array'!B10,'3b Gift array'!B23)</f>
        <v>0</v>
      </c>
      <c r="D111" s="86" t="str">
        <f>IF('3b Gift array'!$F$31 = "No",'3b Gift array'!C10,'3b Gift array'!C23)</f>
        <v/>
      </c>
      <c r="E111" s="90" t="str">
        <f>IF('3b Gift array'!$F$31 = "No",'3b Gift array'!E10,'3b Gift array'!E23)</f>
        <v/>
      </c>
      <c r="F111" s="92">
        <f>IF('3b Gift array'!$F$31 = "No",'3b Gift array'!F10,'3b Gift array'!F23)</f>
        <v>0</v>
      </c>
    </row>
    <row r="112" spans="1:17" ht="14" x14ac:dyDescent="0.2">
      <c r="C112" s="55">
        <f>IF('3b Gift array'!$F$31 = "No",'3b Gift array'!B11,'3b Gift array'!B24)</f>
        <v>0</v>
      </c>
      <c r="D112" s="54" t="str">
        <f>IF('3b Gift array'!$F$31 = "No",'3b Gift array'!C11,'3b Gift array'!C24)</f>
        <v/>
      </c>
      <c r="E112" s="59" t="str">
        <f>IF('3b Gift array'!$F$31 = "No",'3b Gift array'!E11,'3b Gift array'!E24)</f>
        <v/>
      </c>
      <c r="F112" s="91">
        <f>IF('3b Gift array'!$F$31 = "No",'3b Gift array'!F11,'3b Gift array'!F24)</f>
        <v>0</v>
      </c>
    </row>
    <row r="113" spans="1:9" ht="14" x14ac:dyDescent="0.2">
      <c r="C113" s="87">
        <f>IF('3b Gift array'!$F$31 = "No",'3b Gift array'!B12,'3b Gift array'!B25)</f>
        <v>0</v>
      </c>
      <c r="D113" s="86" t="str">
        <f>IF('3b Gift array'!$F$31 = "No",'3b Gift array'!C12,'3b Gift array'!C25)</f>
        <v/>
      </c>
      <c r="E113" s="90" t="str">
        <f>IF('3b Gift array'!$F$31 = "No",'3b Gift array'!E12,'3b Gift array'!E25)</f>
        <v/>
      </c>
      <c r="F113" s="92">
        <f>IF('3b Gift array'!$F$31 = "No",'3b Gift array'!F12,'3b Gift array'!F25)</f>
        <v>0</v>
      </c>
    </row>
    <row r="114" spans="1:9" ht="14" x14ac:dyDescent="0.2">
      <c r="C114" s="55">
        <f>IF('3b Gift array'!$F$31 = "No",'3b Gift array'!B13,'3b Gift array'!B26)</f>
        <v>0</v>
      </c>
      <c r="D114" s="54" t="str">
        <f>IF('3b Gift array'!$F$31 = "No",'3b Gift array'!C13,'3b Gift array'!C26)</f>
        <v/>
      </c>
      <c r="E114" s="59" t="str">
        <f>IF('3b Gift array'!$F$31 = "No",'3b Gift array'!E13,'3b Gift array'!E26)</f>
        <v/>
      </c>
      <c r="F114" s="91">
        <f>IF('3b Gift array'!$F$31 = "No",'3b Gift array'!F13,'3b Gift array'!F26)</f>
        <v>0</v>
      </c>
    </row>
    <row r="115" spans="1:9" ht="14" x14ac:dyDescent="0.2">
      <c r="C115" s="87">
        <f>IF('3b Gift array'!$F$31 = "No",'3b Gift array'!B14,'3b Gift array'!B27)</f>
        <v>0</v>
      </c>
      <c r="D115" s="86" t="str">
        <f>IF('3b Gift array'!$F$31 = "No",'3b Gift array'!C14,'3b Gift array'!C27)</f>
        <v/>
      </c>
      <c r="E115" s="90" t="str">
        <f>IF('3b Gift array'!$F$31 = "No",'3b Gift array'!E14,'3b Gift array'!E27)</f>
        <v/>
      </c>
      <c r="F115" s="92">
        <f>IF('3b Gift array'!$F$31 = "No",'3b Gift array'!F14,'3b Gift array'!F27)</f>
        <v>0</v>
      </c>
    </row>
    <row r="116" spans="1:9" ht="15" thickBot="1" x14ac:dyDescent="0.25">
      <c r="C116" s="57">
        <f>IF('3b Gift array'!$F$31 = "No",'3b Gift array'!B15,'3b Gift array'!B28)</f>
        <v>0</v>
      </c>
      <c r="D116" s="56" t="str">
        <f>IF('3b Gift array'!$F$31 = "No",'3b Gift array'!C15,'3b Gift array'!C28)</f>
        <v/>
      </c>
      <c r="E116" s="60" t="str">
        <f>IF('3b Gift array'!$F$31 = "No",'3b Gift array'!E15,'3b Gift array'!E28)</f>
        <v/>
      </c>
      <c r="F116" s="93">
        <f>IF('3b Gift array'!$F$31 = "No",'3b Gift array'!F15,'3b Gift array'!F28)</f>
        <v>0</v>
      </c>
    </row>
    <row r="117" spans="1:9" ht="15" thickBot="1" x14ac:dyDescent="0.25">
      <c r="C117" s="88">
        <f>IF('3b Gift array'!$F$31 = "No",'3b Gift array'!B16,'3b Gift array'!B29)</f>
        <v>0</v>
      </c>
      <c r="D117" s="49"/>
      <c r="E117" s="49"/>
      <c r="F117" s="89">
        <f>IF('3b Gift array'!$F$31 = "No",'3b Gift array'!F16,'3b Gift array'!F29)</f>
        <v>0</v>
      </c>
    </row>
    <row r="118" spans="1:9" ht="14" thickTop="1" x14ac:dyDescent="0.15"/>
    <row r="120" spans="1:9" ht="35" customHeight="1" x14ac:dyDescent="0.2">
      <c r="A120" s="408" t="s">
        <v>196</v>
      </c>
      <c r="B120" s="408"/>
      <c r="C120" s="408"/>
      <c r="D120" s="408"/>
      <c r="E120" s="408"/>
      <c r="F120" s="408"/>
      <c r="G120" s="408"/>
      <c r="H120" s="408"/>
      <c r="I120" s="408"/>
    </row>
  </sheetData>
  <sheetProtection sheet="1" selectLockedCells="1"/>
  <mergeCells count="90">
    <mergeCell ref="A120:I120"/>
    <mergeCell ref="A103:I103"/>
    <mergeCell ref="A104:I104"/>
    <mergeCell ref="A105:I105"/>
    <mergeCell ref="A70:B70"/>
    <mergeCell ref="A81:B84"/>
    <mergeCell ref="A85:B90"/>
    <mergeCell ref="A106:I106"/>
    <mergeCell ref="C70:E70"/>
    <mergeCell ref="A74:B78"/>
    <mergeCell ref="C74:E74"/>
    <mergeCell ref="C75:E75"/>
    <mergeCell ref="C76:E76"/>
    <mergeCell ref="C77:E77"/>
    <mergeCell ref="C78:E78"/>
    <mergeCell ref="A79:B80"/>
    <mergeCell ref="A107:I107"/>
    <mergeCell ref="B32:I32"/>
    <mergeCell ref="B33:I33"/>
    <mergeCell ref="A34:I34"/>
    <mergeCell ref="A35:I35"/>
    <mergeCell ref="B36:I36"/>
    <mergeCell ref="A37:F37"/>
    <mergeCell ref="B38:I38"/>
    <mergeCell ref="B39:I39"/>
    <mergeCell ref="A40:I40"/>
    <mergeCell ref="A41:I41"/>
    <mergeCell ref="A43:F43"/>
    <mergeCell ref="A58:B61"/>
    <mergeCell ref="B44:F44"/>
    <mergeCell ref="B45:F45"/>
    <mergeCell ref="B46:F46"/>
    <mergeCell ref="B31:I31"/>
    <mergeCell ref="A16:I16"/>
    <mergeCell ref="A17:I17"/>
    <mergeCell ref="B20:C20"/>
    <mergeCell ref="A22:I22"/>
    <mergeCell ref="A23:I23"/>
    <mergeCell ref="A24:I24"/>
    <mergeCell ref="A26:H26"/>
    <mergeCell ref="B27:I27"/>
    <mergeCell ref="B28:I28"/>
    <mergeCell ref="B29:I29"/>
    <mergeCell ref="B30:I30"/>
    <mergeCell ref="B21:C21"/>
    <mergeCell ref="A15:I15"/>
    <mergeCell ref="A1:I1"/>
    <mergeCell ref="K1:Q1"/>
    <mergeCell ref="A2:I2"/>
    <mergeCell ref="K2:Q4"/>
    <mergeCell ref="A4:I4"/>
    <mergeCell ref="A5:I5"/>
    <mergeCell ref="A6:I6"/>
    <mergeCell ref="B9:C9"/>
    <mergeCell ref="B10:C10"/>
    <mergeCell ref="B11:C11"/>
    <mergeCell ref="A14:I14"/>
    <mergeCell ref="B47:F47"/>
    <mergeCell ref="B48:F48"/>
    <mergeCell ref="B49:F49"/>
    <mergeCell ref="C64:E64"/>
    <mergeCell ref="C58:E58"/>
    <mergeCell ref="C59:E59"/>
    <mergeCell ref="C60:E60"/>
    <mergeCell ref="C61:E61"/>
    <mergeCell ref="B50:F50"/>
    <mergeCell ref="A53:I53"/>
    <mergeCell ref="C63:E63"/>
    <mergeCell ref="C65:E65"/>
    <mergeCell ref="C66:E66"/>
    <mergeCell ref="A67:B69"/>
    <mergeCell ref="C67:E67"/>
    <mergeCell ref="C68:E68"/>
    <mergeCell ref="C69:E69"/>
    <mergeCell ref="A62:B66"/>
    <mergeCell ref="C62:E62"/>
    <mergeCell ref="C79:E79"/>
    <mergeCell ref="C80:E80"/>
    <mergeCell ref="C81:E81"/>
    <mergeCell ref="C82:E82"/>
    <mergeCell ref="C83:E83"/>
    <mergeCell ref="C84:E84"/>
    <mergeCell ref="C85:E85"/>
    <mergeCell ref="A95:D95"/>
    <mergeCell ref="C101:G101"/>
    <mergeCell ref="C86:E86"/>
    <mergeCell ref="C87:E87"/>
    <mergeCell ref="C88:E88"/>
    <mergeCell ref="C89:E89"/>
    <mergeCell ref="C90:E90"/>
  </mergeCells>
  <conditionalFormatting sqref="C101">
    <cfRule type="expression" dxfId="17" priority="2">
      <formula>$J$31&lt;0</formula>
    </cfRule>
  </conditionalFormatting>
  <conditionalFormatting sqref="I101">
    <cfRule type="expression" dxfId="8" priority="1">
      <formula>$J$31&lt;0</formula>
    </cfRule>
  </conditionalFormatting>
  <pageMargins left="0.70866141732283472" right="0.70866141732283472" top="0.74803149606299213" bottom="0.74803149606299213" header="0.31496062992125984" footer="0.31496062992125984"/>
  <pageSetup paperSize="9" scale="95" orientation="portrait" r:id="rId1"/>
  <headerFooter differentFirst="1">
    <oddHeader>&amp;CGiving in Grace: Knowing our Numbers Report</oddHeader>
    <oddFooter>&amp;LPrinted on &amp;D&amp;RPage &amp;P of &amp;N</oddFooter>
    <firstFooter>&amp;LPrinted on &amp;D&amp;RPage &amp;P of &amp;N</firstFooter>
  </headerFooter>
  <rowBreaks count="6" manualBreakCount="6">
    <brk id="15" max="16383" man="1"/>
    <brk id="22" max="16383" man="1"/>
    <brk id="36" max="16383" man="1"/>
    <brk id="40" max="16383" man="1"/>
    <brk id="52" max="16383" man="1"/>
    <brk id="102"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4" id="{D53E9D2D-A64F-4FFC-8F44-4603A7DA25AB}">
            <xm:f>'1 Start here'!$C$12=""</xm:f>
            <x14:dxf>
              <font>
                <color theme="0"/>
              </font>
              <fill>
                <patternFill patternType="none">
                  <bgColor auto="1"/>
                </patternFill>
              </fill>
              <border>
                <left/>
                <right/>
                <top/>
                <bottom/>
              </border>
            </x14:dxf>
          </x14:cfRule>
          <xm:sqref>F8:F11</xm:sqref>
        </x14:conditionalFormatting>
        <x14:conditionalFormatting xmlns:xm="http://schemas.microsoft.com/office/excel/2006/main">
          <x14:cfRule type="expression" priority="12" id="{0B6A84E2-E614-437C-A97E-232A1E0B79E1}">
            <xm:f>'1 Start here'!$C$12=""</xm:f>
            <x14:dxf>
              <font>
                <color theme="0"/>
              </font>
              <fill>
                <patternFill patternType="none">
                  <bgColor auto="1"/>
                </patternFill>
              </fill>
              <border>
                <left/>
                <right/>
                <top/>
                <bottom/>
                <vertical/>
                <horizontal/>
              </border>
            </x14:dxf>
          </x14:cfRule>
          <xm:sqref>F19:F21</xm:sqref>
        </x14:conditionalFormatting>
        <x14:conditionalFormatting xmlns:xm="http://schemas.microsoft.com/office/excel/2006/main">
          <x14:cfRule type="expression" priority="13" id="{723EFE28-E11B-44EC-ACED-B62DC7E576C5}">
            <xm:f>'1 Start here'!$C$13=""</xm:f>
            <x14:dxf>
              <font>
                <color theme="0"/>
              </font>
              <fill>
                <patternFill patternType="none">
                  <bgColor auto="1"/>
                </patternFill>
              </fill>
              <border>
                <left/>
                <right/>
                <top/>
                <bottom/>
                <vertical/>
                <horizontal/>
              </border>
            </x14:dxf>
          </x14:cfRule>
          <xm:sqref>G8:G11</xm:sqref>
        </x14:conditionalFormatting>
        <x14:conditionalFormatting xmlns:xm="http://schemas.microsoft.com/office/excel/2006/main">
          <x14:cfRule type="expression" priority="11" id="{DA28291D-DB8F-4FB0-9A02-E39221D9C64C}">
            <xm:f>'1 Start here'!$C$13=""</xm:f>
            <x14:dxf>
              <font>
                <color theme="0"/>
              </font>
              <fill>
                <patternFill patternType="none">
                  <bgColor auto="1"/>
                </patternFill>
              </fill>
              <border>
                <left/>
                <right/>
                <top/>
                <bottom/>
                <vertical/>
                <horizontal/>
              </border>
            </x14:dxf>
          </x14:cfRule>
          <xm:sqref>G19:G21</xm:sqref>
        </x14:conditionalFormatting>
        <x14:conditionalFormatting xmlns:xm="http://schemas.microsoft.com/office/excel/2006/main">
          <x14:cfRule type="expression" priority="6" id="{891E9EB1-9E44-4EE2-BDFC-35855D16D2B2}">
            <xm:f>'3a Budget plan'!$K$40&lt;0</xm:f>
            <x14:dxf>
              <font>
                <color rgb="FFFF0000"/>
              </font>
            </x14:dxf>
          </x14:cfRule>
          <xm:sqref>G46</xm:sqref>
        </x14:conditionalFormatting>
        <x14:conditionalFormatting xmlns:xm="http://schemas.microsoft.com/office/excel/2006/main">
          <x14:cfRule type="expression" priority="5" id="{E3B6C4E8-DDA2-46C8-9818-F293D193841F}">
            <xm:f>'3a Budget plan'!$K$45&lt;0</xm:f>
            <x14:dxf>
              <font>
                <color rgb="FFFF0000"/>
              </font>
            </x14:dxf>
          </x14:cfRule>
          <xm:sqref>G48</xm:sqref>
        </x14:conditionalFormatting>
        <x14:conditionalFormatting xmlns:xm="http://schemas.microsoft.com/office/excel/2006/main">
          <x14:cfRule type="expression" priority="4" id="{8EDB7C4D-F60F-4C8C-99AB-93FE91363A43}">
            <xm:f>'3a Budget plan'!$K$40&lt;0</xm:f>
            <x14:dxf>
              <font>
                <color rgb="FFFF0000"/>
              </font>
            </x14:dxf>
          </x14:cfRule>
          <xm:sqref>I46</xm:sqref>
        </x14:conditionalFormatting>
        <x14:conditionalFormatting xmlns:xm="http://schemas.microsoft.com/office/excel/2006/main">
          <x14:cfRule type="expression" priority="3" id="{29AE7AF1-1DE2-4705-ACE4-AE9C0C0034AE}">
            <xm:f>'3a Budget plan'!$K$45&lt;0</xm:f>
            <x14:dxf>
              <font>
                <color rgb="FFFF0000"/>
              </font>
            </x14:dxf>
          </x14:cfRule>
          <xm:sqref>I48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FFB2F-C499-4374-BDFF-E9B6ADD0C0B3}">
  <sheetPr>
    <tabColor theme="4"/>
  </sheetPr>
  <dimension ref="A1:N21"/>
  <sheetViews>
    <sheetView showGridLines="0" workbookViewId="0">
      <selection activeCell="B5" sqref="B5:G5"/>
    </sheetView>
  </sheetViews>
  <sheetFormatPr baseColWidth="10" defaultColWidth="8.83203125" defaultRowHeight="13" x14ac:dyDescent="0.15"/>
  <cols>
    <col min="1" max="1" width="3.6640625" customWidth="1"/>
    <col min="8" max="8" width="3.5" customWidth="1"/>
    <col min="10" max="10" width="10" customWidth="1"/>
    <col min="11" max="13" width="9.6640625" customWidth="1"/>
  </cols>
  <sheetData>
    <row r="1" spans="1:14" ht="23.5" customHeight="1" x14ac:dyDescent="0.15">
      <c r="A1" s="66"/>
      <c r="B1" s="17"/>
      <c r="C1" s="16"/>
    </row>
    <row r="2" spans="1:14" ht="24" x14ac:dyDescent="0.3">
      <c r="B2" s="340" t="s">
        <v>13</v>
      </c>
      <c r="C2" s="340"/>
      <c r="D2" s="340"/>
    </row>
    <row r="3" spans="1:14" ht="21" thickBot="1" x14ac:dyDescent="0.3">
      <c r="B3" s="343" t="s">
        <v>14</v>
      </c>
      <c r="C3" s="343"/>
      <c r="D3" s="343"/>
      <c r="E3" s="343"/>
      <c r="F3" s="343"/>
      <c r="G3" s="343"/>
    </row>
    <row r="4" spans="1:14" ht="18" thickTop="1" thickBot="1" x14ac:dyDescent="0.25">
      <c r="B4" s="344" t="s">
        <v>15</v>
      </c>
      <c r="C4" s="344"/>
      <c r="D4" s="344"/>
      <c r="E4" s="344"/>
      <c r="F4" s="344"/>
      <c r="G4" s="344"/>
    </row>
    <row r="5" spans="1:14" s="6" customFormat="1" ht="18" customHeight="1" thickBot="1" x14ac:dyDescent="0.2">
      <c r="B5" s="345"/>
      <c r="C5" s="346"/>
      <c r="D5" s="346"/>
      <c r="E5" s="346"/>
      <c r="F5" s="346"/>
      <c r="G5" s="347"/>
    </row>
    <row r="6" spans="1:14" s="6" customFormat="1" ht="18" customHeight="1" x14ac:dyDescent="0.15"/>
    <row r="7" spans="1:14" ht="17" thickBot="1" x14ac:dyDescent="0.25">
      <c r="B7" s="339" t="s">
        <v>16</v>
      </c>
      <c r="C7" s="339"/>
      <c r="D7" s="339"/>
      <c r="E7" s="339"/>
      <c r="F7" s="339"/>
      <c r="G7" s="339"/>
    </row>
    <row r="8" spans="1:14" ht="14" thickTop="1" x14ac:dyDescent="0.15">
      <c r="B8" s="341" t="s">
        <v>17</v>
      </c>
      <c r="C8" s="342"/>
      <c r="D8" s="342"/>
      <c r="E8" s="342"/>
      <c r="F8" s="342"/>
      <c r="G8" s="342"/>
    </row>
    <row r="9" spans="1:14" ht="19.25" customHeight="1" x14ac:dyDescent="0.15">
      <c r="B9" s="342"/>
      <c r="C9" s="342"/>
      <c r="D9" s="342"/>
      <c r="E9" s="342"/>
      <c r="F9" s="342"/>
      <c r="G9" s="342"/>
    </row>
    <row r="10" spans="1:14" ht="15" x14ac:dyDescent="0.2">
      <c r="B10" s="102" t="s">
        <v>18</v>
      </c>
      <c r="C10" s="293"/>
      <c r="D10" s="291" t="s">
        <v>19</v>
      </c>
      <c r="E10" s="291" t="s">
        <v>20</v>
      </c>
    </row>
    <row r="11" spans="1:14" ht="15" x14ac:dyDescent="0.2">
      <c r="B11" s="102" t="s">
        <v>21</v>
      </c>
      <c r="C11" s="96"/>
      <c r="D11" s="291" t="s">
        <v>22</v>
      </c>
      <c r="E11" s="292" t="s">
        <v>23</v>
      </c>
    </row>
    <row r="12" spans="1:14" ht="17" customHeight="1" x14ac:dyDescent="0.2">
      <c r="B12" s="102" t="s">
        <v>24</v>
      </c>
      <c r="C12" s="97"/>
      <c r="D12" s="291" t="s">
        <v>22</v>
      </c>
      <c r="E12" s="292" t="s">
        <v>23</v>
      </c>
      <c r="N12" s="15"/>
    </row>
    <row r="13" spans="1:14" ht="17" customHeight="1" x14ac:dyDescent="0.2">
      <c r="B13" s="102" t="s">
        <v>25</v>
      </c>
      <c r="C13" s="98"/>
      <c r="D13" s="291" t="s">
        <v>22</v>
      </c>
      <c r="E13" s="291" t="s">
        <v>26</v>
      </c>
      <c r="N13" s="15"/>
    </row>
    <row r="14" spans="1:14" ht="18" customHeight="1" x14ac:dyDescent="0.15"/>
    <row r="15" spans="1:14" ht="17" thickBot="1" x14ac:dyDescent="0.25">
      <c r="B15" s="339" t="s">
        <v>27</v>
      </c>
      <c r="C15" s="339"/>
      <c r="D15" s="339"/>
      <c r="E15" s="339"/>
      <c r="F15" s="339"/>
      <c r="G15" s="339"/>
    </row>
    <row r="16" spans="1:14" ht="17" customHeight="1" thickTop="1" x14ac:dyDescent="0.15">
      <c r="B16" s="341" t="s">
        <v>28</v>
      </c>
      <c r="C16" s="342"/>
      <c r="D16" s="342"/>
      <c r="E16" s="342"/>
      <c r="F16" s="342"/>
      <c r="G16" s="342"/>
    </row>
    <row r="17" spans="2:7" x14ac:dyDescent="0.15">
      <c r="B17" s="342"/>
      <c r="C17" s="342"/>
      <c r="D17" s="342"/>
      <c r="E17" s="342"/>
      <c r="F17" s="342"/>
      <c r="G17" s="342"/>
    </row>
    <row r="18" spans="2:7" ht="18" customHeight="1" x14ac:dyDescent="0.2">
      <c r="B18" s="102" t="s">
        <v>29</v>
      </c>
      <c r="C18" s="99"/>
    </row>
    <row r="20" spans="2:7" ht="18.75" customHeight="1" thickBot="1" x14ac:dyDescent="0.25">
      <c r="B20" s="339" t="s">
        <v>30</v>
      </c>
      <c r="C20" s="339"/>
      <c r="D20" s="339"/>
      <c r="E20" s="339"/>
      <c r="F20" s="339"/>
      <c r="G20" s="339"/>
    </row>
    <row r="21" spans="2:7" ht="18" customHeight="1" thickTop="1" x14ac:dyDescent="0.2">
      <c r="B21" s="102" t="s">
        <v>29</v>
      </c>
      <c r="C21" s="100"/>
    </row>
  </sheetData>
  <sheetProtection sheet="1" selectLockedCells="1"/>
  <customSheetViews>
    <customSheetView guid="{359010A1-0405-4C05-8A51-03FA4E24F244}" showGridLines="0">
      <selection activeCell="C11" sqref="C11"/>
    </customSheetView>
    <customSheetView guid="{6E4277CF-1161-4602-99B2-7466BE4F7FEC}" showGridLines="0">
      <selection activeCell="C11" sqref="C11"/>
    </customSheetView>
  </customSheetViews>
  <mergeCells count="9">
    <mergeCell ref="B20:G20"/>
    <mergeCell ref="B2:D2"/>
    <mergeCell ref="B8:G9"/>
    <mergeCell ref="B7:G7"/>
    <mergeCell ref="B3:G3"/>
    <mergeCell ref="B4:G4"/>
    <mergeCell ref="B5:G5"/>
    <mergeCell ref="B15:G15"/>
    <mergeCell ref="B16:G17"/>
  </mergeCells>
  <phoneticPr fontId="21" type="noConversion"/>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F0E9-2BDD-4018-97FA-B806FA01C13E}">
  <sheetPr>
    <tabColor theme="5"/>
    <pageSetUpPr fitToPage="1"/>
  </sheetPr>
  <dimension ref="A1:X46"/>
  <sheetViews>
    <sheetView showGridLines="0" zoomScaleNormal="100" workbookViewId="0">
      <pane ySplit="3" topLeftCell="A4" activePane="bottomLeft" state="frozen"/>
      <selection pane="bottomLeft" activeCell="F6" sqref="F6"/>
    </sheetView>
  </sheetViews>
  <sheetFormatPr baseColWidth="10" defaultColWidth="7.33203125" defaultRowHeight="15" outlineLevelCol="1" x14ac:dyDescent="0.2"/>
  <cols>
    <col min="1" max="1" width="3.6640625" style="19" customWidth="1"/>
    <col min="2" max="2" width="31.1640625" style="113" customWidth="1"/>
    <col min="3" max="3" width="26.1640625" style="21" customWidth="1"/>
    <col min="4" max="4" width="1.33203125" style="3" customWidth="1"/>
    <col min="5" max="5" width="9.6640625" style="19" customWidth="1"/>
    <col min="6" max="6" width="8.33203125" style="19" hidden="1" customWidth="1" outlineLevel="1"/>
    <col min="7" max="7" width="7.6640625" style="1" hidden="1" customWidth="1" outlineLevel="1"/>
    <col min="8" max="8" width="1.33203125" style="3" customWidth="1" collapsed="1"/>
    <col min="9" max="9" width="9.6640625" style="19" customWidth="1"/>
    <col min="10" max="10" width="8.33203125" style="19" hidden="1" customWidth="1" outlineLevel="1"/>
    <col min="11" max="11" width="7.6640625" style="1" hidden="1" customWidth="1" outlineLevel="1"/>
    <col min="12" max="12" width="1.33203125" style="3" customWidth="1" collapsed="1"/>
    <col min="13" max="13" width="9.6640625" style="19" bestFit="1" customWidth="1"/>
    <col min="14" max="14" width="8.33203125" style="19" hidden="1" customWidth="1" outlineLevel="1"/>
    <col min="15" max="15" width="7.6640625" style="1" hidden="1" customWidth="1" outlineLevel="1"/>
    <col min="16" max="16" width="1.33203125" style="3" customWidth="1" collapsed="1"/>
    <col min="17" max="17" width="9.6640625" style="19" bestFit="1" customWidth="1"/>
    <col min="18" max="18" width="8.33203125" style="123" hidden="1" customWidth="1" outlineLevel="1"/>
    <col min="19" max="19" width="7.6640625" style="124" hidden="1" customWidth="1" outlineLevel="1"/>
    <col min="20" max="20" width="1.33203125" customWidth="1" collapsed="1"/>
    <col min="22" max="23" width="7.33203125" style="1"/>
    <col min="24" max="16384" width="7.33203125" style="19"/>
  </cols>
  <sheetData>
    <row r="1" spans="1:23" s="17" customFormat="1" ht="23.5" customHeight="1" x14ac:dyDescent="0.15">
      <c r="A1" s="66"/>
      <c r="C1" s="16"/>
      <c r="D1" s="3"/>
      <c r="G1" s="18"/>
      <c r="H1" s="3"/>
      <c r="K1" s="18"/>
      <c r="L1" s="3"/>
      <c r="M1" s="37"/>
      <c r="N1" s="37"/>
      <c r="O1" s="37"/>
      <c r="P1" s="37"/>
      <c r="Q1" s="37"/>
      <c r="R1" s="322"/>
      <c r="S1" s="323"/>
      <c r="T1" s="6"/>
      <c r="V1" s="18"/>
      <c r="W1" s="18"/>
    </row>
    <row r="2" spans="1:23" ht="26" thickBot="1" x14ac:dyDescent="0.25">
      <c r="B2" s="16" t="s">
        <v>31</v>
      </c>
      <c r="C2" s="20"/>
      <c r="E2" s="348">
        <f>'1 Start here'!C10</f>
        <v>0</v>
      </c>
      <c r="F2" s="348"/>
      <c r="G2" s="105">
        <f>E2</f>
        <v>0</v>
      </c>
      <c r="H2" s="106"/>
      <c r="I2" s="348" t="str">
        <f>IF('1 Start here'!C11="","",'1 Start here'!C11)</f>
        <v/>
      </c>
      <c r="J2" s="348"/>
      <c r="K2" s="105" t="str">
        <f>I2</f>
        <v/>
      </c>
      <c r="L2" s="106"/>
      <c r="M2" s="348" t="str">
        <f>IF('1 Start here'!C12="","",'1 Start here'!C12)</f>
        <v/>
      </c>
      <c r="N2" s="348"/>
      <c r="O2" s="105" t="str">
        <f>M2</f>
        <v/>
      </c>
      <c r="P2" s="106"/>
      <c r="Q2" s="348" t="str">
        <f>IF('1 Start here'!C13="","",'1 Start here'!C13)</f>
        <v/>
      </c>
      <c r="R2" s="348"/>
      <c r="S2" s="105" t="str">
        <f>Q2</f>
        <v/>
      </c>
      <c r="T2" s="107"/>
    </row>
    <row r="3" spans="1:23" ht="16" x14ac:dyDescent="0.2">
      <c r="B3" s="111"/>
      <c r="C3" s="20"/>
      <c r="E3" s="169" t="s">
        <v>32</v>
      </c>
      <c r="F3" s="169" t="s">
        <v>33</v>
      </c>
      <c r="G3" s="36" t="s">
        <v>34</v>
      </c>
      <c r="H3" s="248"/>
      <c r="I3" s="169" t="s">
        <v>32</v>
      </c>
      <c r="J3" s="169" t="s">
        <v>33</v>
      </c>
      <c r="K3" s="36" t="s">
        <v>34</v>
      </c>
      <c r="L3" s="248"/>
      <c r="M3" s="169" t="s">
        <v>32</v>
      </c>
      <c r="N3" s="169" t="s">
        <v>33</v>
      </c>
      <c r="O3" s="36" t="s">
        <v>34</v>
      </c>
      <c r="P3" s="248"/>
      <c r="Q3" s="169" t="s">
        <v>32</v>
      </c>
      <c r="R3" s="169" t="s">
        <v>33</v>
      </c>
      <c r="S3" s="169" t="s">
        <v>34</v>
      </c>
      <c r="T3" s="107"/>
    </row>
    <row r="4" spans="1:23" ht="21" x14ac:dyDescent="0.2">
      <c r="B4" s="112" t="s">
        <v>35</v>
      </c>
      <c r="C4" s="20"/>
      <c r="R4" s="324"/>
      <c r="S4" s="324"/>
      <c r="T4" s="109"/>
    </row>
    <row r="5" spans="1:23" ht="15" customHeight="1" x14ac:dyDescent="0.2">
      <c r="B5" s="151" t="s">
        <v>36</v>
      </c>
      <c r="C5" s="152" t="s">
        <v>37</v>
      </c>
      <c r="E5" s="294"/>
      <c r="F5" s="294"/>
      <c r="G5" s="119">
        <f t="shared" ref="G5:G17" si="0">SUM(E5:F5)</f>
        <v>0</v>
      </c>
      <c r="H5" s="120"/>
      <c r="I5" s="118"/>
      <c r="J5" s="118"/>
      <c r="K5" s="119">
        <f t="shared" ref="K5:K17" si="1">SUM(I5:J5)</f>
        <v>0</v>
      </c>
      <c r="L5" s="120"/>
      <c r="M5" s="126"/>
      <c r="N5" s="126"/>
      <c r="O5" s="119">
        <f t="shared" ref="O5:O17" si="2">SUM(M5:N5)</f>
        <v>0</v>
      </c>
      <c r="P5" s="120"/>
      <c r="Q5" s="127"/>
      <c r="R5" s="127"/>
      <c r="S5" s="119">
        <f t="shared" ref="S5:S17" si="3">SUM(Q5:R5)</f>
        <v>0</v>
      </c>
    </row>
    <row r="6" spans="1:23" ht="15" customHeight="1" x14ac:dyDescent="0.2">
      <c r="B6" s="153" t="s">
        <v>38</v>
      </c>
      <c r="C6" s="154" t="s">
        <v>39</v>
      </c>
      <c r="E6" s="294"/>
      <c r="F6" s="294"/>
      <c r="G6" s="119">
        <f t="shared" si="0"/>
        <v>0</v>
      </c>
      <c r="H6" s="120"/>
      <c r="I6" s="118"/>
      <c r="J6" s="118"/>
      <c r="K6" s="119">
        <f t="shared" si="1"/>
        <v>0</v>
      </c>
      <c r="L6" s="120"/>
      <c r="M6" s="126"/>
      <c r="N6" s="126"/>
      <c r="O6" s="119">
        <f t="shared" si="2"/>
        <v>0</v>
      </c>
      <c r="P6" s="120"/>
      <c r="Q6" s="127"/>
      <c r="R6" s="127"/>
      <c r="S6" s="119">
        <f t="shared" si="3"/>
        <v>0</v>
      </c>
    </row>
    <row r="7" spans="1:23" ht="15" customHeight="1" x14ac:dyDescent="0.2">
      <c r="B7" s="153" t="s">
        <v>40</v>
      </c>
      <c r="C7" s="154"/>
      <c r="E7" s="294"/>
      <c r="F7" s="294"/>
      <c r="G7" s="119">
        <f t="shared" si="0"/>
        <v>0</v>
      </c>
      <c r="H7" s="120"/>
      <c r="I7" s="118"/>
      <c r="J7" s="118"/>
      <c r="K7" s="119">
        <f t="shared" si="1"/>
        <v>0</v>
      </c>
      <c r="L7" s="120"/>
      <c r="M7" s="126"/>
      <c r="N7" s="126"/>
      <c r="O7" s="119">
        <f t="shared" si="2"/>
        <v>0</v>
      </c>
      <c r="P7" s="120"/>
      <c r="Q7" s="127"/>
      <c r="R7" s="127"/>
      <c r="S7" s="119">
        <f t="shared" si="3"/>
        <v>0</v>
      </c>
    </row>
    <row r="8" spans="1:23" s="1" customFormat="1" ht="45" customHeight="1" x14ac:dyDescent="0.2">
      <c r="B8" s="153" t="s">
        <v>41</v>
      </c>
      <c r="C8" s="154" t="s">
        <v>42</v>
      </c>
      <c r="D8" s="3"/>
      <c r="E8" s="294"/>
      <c r="F8" s="294"/>
      <c r="G8" s="119">
        <f t="shared" si="0"/>
        <v>0</v>
      </c>
      <c r="H8" s="120"/>
      <c r="I8" s="118"/>
      <c r="J8" s="118"/>
      <c r="K8" s="119">
        <f t="shared" si="1"/>
        <v>0</v>
      </c>
      <c r="L8" s="120"/>
      <c r="M8" s="126"/>
      <c r="N8" s="126"/>
      <c r="O8" s="119">
        <f t="shared" si="2"/>
        <v>0</v>
      </c>
      <c r="P8" s="120"/>
      <c r="Q8" s="127"/>
      <c r="R8" s="127"/>
      <c r="S8" s="119">
        <f t="shared" si="3"/>
        <v>0</v>
      </c>
    </row>
    <row r="9" spans="1:23" s="1" customFormat="1" ht="15" customHeight="1" x14ac:dyDescent="0.2">
      <c r="B9" s="153" t="s">
        <v>43</v>
      </c>
      <c r="C9" s="154"/>
      <c r="D9" s="3"/>
      <c r="E9" s="294"/>
      <c r="F9" s="294"/>
      <c r="G9" s="119">
        <f t="shared" si="0"/>
        <v>0</v>
      </c>
      <c r="H9" s="120"/>
      <c r="I9" s="118"/>
      <c r="J9" s="118"/>
      <c r="K9" s="119">
        <f t="shared" si="1"/>
        <v>0</v>
      </c>
      <c r="L9" s="120"/>
      <c r="M9" s="126"/>
      <c r="N9" s="126"/>
      <c r="O9" s="119">
        <f t="shared" si="2"/>
        <v>0</v>
      </c>
      <c r="P9" s="120"/>
      <c r="Q9" s="127"/>
      <c r="R9" s="127"/>
      <c r="S9" s="119">
        <f t="shared" si="3"/>
        <v>0</v>
      </c>
    </row>
    <row r="10" spans="1:23" s="1" customFormat="1" ht="15" customHeight="1" x14ac:dyDescent="0.2">
      <c r="B10" s="153" t="s">
        <v>44</v>
      </c>
      <c r="C10" s="154"/>
      <c r="D10" s="3"/>
      <c r="E10" s="294"/>
      <c r="F10" s="294"/>
      <c r="G10" s="119">
        <f t="shared" si="0"/>
        <v>0</v>
      </c>
      <c r="H10" s="120"/>
      <c r="I10" s="118"/>
      <c r="J10" s="118"/>
      <c r="K10" s="119">
        <f t="shared" si="1"/>
        <v>0</v>
      </c>
      <c r="L10" s="120"/>
      <c r="M10" s="126"/>
      <c r="N10" s="126"/>
      <c r="O10" s="119">
        <f t="shared" si="2"/>
        <v>0</v>
      </c>
      <c r="P10" s="120"/>
      <c r="Q10" s="127"/>
      <c r="R10" s="127"/>
      <c r="S10" s="119">
        <f t="shared" si="3"/>
        <v>0</v>
      </c>
    </row>
    <row r="11" spans="1:23" s="1" customFormat="1" ht="15" customHeight="1" x14ac:dyDescent="0.2">
      <c r="B11" s="153" t="s">
        <v>45</v>
      </c>
      <c r="C11" s="154" t="s">
        <v>46</v>
      </c>
      <c r="D11" s="3"/>
      <c r="E11" s="294"/>
      <c r="F11" s="294"/>
      <c r="G11" s="119">
        <f t="shared" si="0"/>
        <v>0</v>
      </c>
      <c r="H11" s="120"/>
      <c r="I11" s="118"/>
      <c r="J11" s="118"/>
      <c r="K11" s="119">
        <f t="shared" si="1"/>
        <v>0</v>
      </c>
      <c r="L11" s="120"/>
      <c r="M11" s="126"/>
      <c r="N11" s="126"/>
      <c r="O11" s="119">
        <f t="shared" si="2"/>
        <v>0</v>
      </c>
      <c r="P11" s="120"/>
      <c r="Q11" s="127"/>
      <c r="R11" s="127"/>
      <c r="S11" s="119">
        <f t="shared" si="3"/>
        <v>0</v>
      </c>
    </row>
    <row r="12" spans="1:23" s="1" customFormat="1" ht="29.5" customHeight="1" x14ac:dyDescent="0.2">
      <c r="B12" s="153" t="s">
        <v>47</v>
      </c>
      <c r="C12" s="213" t="s">
        <v>48</v>
      </c>
      <c r="D12" s="3"/>
      <c r="E12" s="294"/>
      <c r="F12" s="294"/>
      <c r="G12" s="119">
        <f t="shared" si="0"/>
        <v>0</v>
      </c>
      <c r="H12" s="120"/>
      <c r="I12" s="118"/>
      <c r="J12" s="118"/>
      <c r="K12" s="119">
        <f t="shared" si="1"/>
        <v>0</v>
      </c>
      <c r="L12" s="120"/>
      <c r="M12" s="126"/>
      <c r="N12" s="126"/>
      <c r="O12" s="119">
        <f t="shared" si="2"/>
        <v>0</v>
      </c>
      <c r="P12" s="120"/>
      <c r="Q12" s="127"/>
      <c r="R12" s="127"/>
      <c r="S12" s="119">
        <f t="shared" si="3"/>
        <v>0</v>
      </c>
    </row>
    <row r="13" spans="1:23" s="1" customFormat="1" ht="15" customHeight="1" x14ac:dyDescent="0.2">
      <c r="B13" s="153" t="s">
        <v>49</v>
      </c>
      <c r="C13" s="154" t="s">
        <v>50</v>
      </c>
      <c r="D13" s="3"/>
      <c r="E13" s="294"/>
      <c r="F13" s="294"/>
      <c r="G13" s="119">
        <f t="shared" si="0"/>
        <v>0</v>
      </c>
      <c r="H13" s="120"/>
      <c r="I13" s="118"/>
      <c r="J13" s="118"/>
      <c r="K13" s="119">
        <f t="shared" si="1"/>
        <v>0</v>
      </c>
      <c r="L13" s="120"/>
      <c r="M13" s="126"/>
      <c r="N13" s="126"/>
      <c r="O13" s="119">
        <f t="shared" si="2"/>
        <v>0</v>
      </c>
      <c r="P13" s="120"/>
      <c r="Q13" s="127"/>
      <c r="R13" s="127"/>
      <c r="S13" s="119">
        <f t="shared" si="3"/>
        <v>0</v>
      </c>
    </row>
    <row r="14" spans="1:23" s="1" customFormat="1" ht="29" customHeight="1" x14ac:dyDescent="0.2">
      <c r="B14" s="153" t="s">
        <v>51</v>
      </c>
      <c r="C14" s="154"/>
      <c r="D14" s="3"/>
      <c r="E14" s="294"/>
      <c r="F14" s="294"/>
      <c r="G14" s="119">
        <f t="shared" si="0"/>
        <v>0</v>
      </c>
      <c r="H14" s="120"/>
      <c r="I14" s="118"/>
      <c r="J14" s="118"/>
      <c r="K14" s="119">
        <f t="shared" si="1"/>
        <v>0</v>
      </c>
      <c r="L14" s="120"/>
      <c r="M14" s="126"/>
      <c r="N14" s="126"/>
      <c r="O14" s="119">
        <f t="shared" si="2"/>
        <v>0</v>
      </c>
      <c r="P14" s="120"/>
      <c r="Q14" s="127"/>
      <c r="R14" s="127"/>
      <c r="S14" s="119">
        <f t="shared" si="3"/>
        <v>0</v>
      </c>
    </row>
    <row r="15" spans="1:23" s="1" customFormat="1" ht="15" customHeight="1" x14ac:dyDescent="0.2">
      <c r="B15" s="153" t="s">
        <v>52</v>
      </c>
      <c r="C15" s="154" t="s">
        <v>53</v>
      </c>
      <c r="D15" s="3"/>
      <c r="E15" s="294"/>
      <c r="F15" s="294"/>
      <c r="G15" s="119">
        <f t="shared" si="0"/>
        <v>0</v>
      </c>
      <c r="H15" s="120"/>
      <c r="I15" s="118"/>
      <c r="J15" s="118"/>
      <c r="K15" s="119">
        <f t="shared" si="1"/>
        <v>0</v>
      </c>
      <c r="L15" s="120"/>
      <c r="M15" s="126"/>
      <c r="N15" s="126"/>
      <c r="O15" s="119">
        <f t="shared" si="2"/>
        <v>0</v>
      </c>
      <c r="P15" s="120"/>
      <c r="Q15" s="127"/>
      <c r="R15" s="127"/>
      <c r="S15" s="119">
        <f t="shared" si="3"/>
        <v>0</v>
      </c>
    </row>
    <row r="16" spans="1:23" s="1" customFormat="1" ht="29" customHeight="1" x14ac:dyDescent="0.2">
      <c r="B16" s="153" t="s">
        <v>54</v>
      </c>
      <c r="C16" s="154" t="s">
        <v>55</v>
      </c>
      <c r="D16" s="3"/>
      <c r="E16" s="294"/>
      <c r="F16" s="294"/>
      <c r="G16" s="119">
        <f t="shared" si="0"/>
        <v>0</v>
      </c>
      <c r="H16" s="120"/>
      <c r="I16" s="118"/>
      <c r="J16" s="118"/>
      <c r="K16" s="119">
        <f t="shared" si="1"/>
        <v>0</v>
      </c>
      <c r="L16" s="120"/>
      <c r="M16" s="126"/>
      <c r="N16" s="126"/>
      <c r="O16" s="119">
        <f t="shared" si="2"/>
        <v>0</v>
      </c>
      <c r="P16" s="120"/>
      <c r="Q16" s="127"/>
      <c r="R16" s="127"/>
      <c r="S16" s="119">
        <f t="shared" si="3"/>
        <v>0</v>
      </c>
    </row>
    <row r="17" spans="2:19" s="1" customFormat="1" ht="15" customHeight="1" x14ac:dyDescent="0.2">
      <c r="B17" s="153" t="s">
        <v>56</v>
      </c>
      <c r="C17" s="213" t="s">
        <v>57</v>
      </c>
      <c r="D17" s="3"/>
      <c r="E17" s="294"/>
      <c r="F17" s="294"/>
      <c r="G17" s="119">
        <f t="shared" si="0"/>
        <v>0</v>
      </c>
      <c r="H17" s="120"/>
      <c r="I17" s="118"/>
      <c r="J17" s="118"/>
      <c r="K17" s="119">
        <f t="shared" si="1"/>
        <v>0</v>
      </c>
      <c r="L17" s="120"/>
      <c r="M17" s="126"/>
      <c r="N17" s="126"/>
      <c r="O17" s="119">
        <f t="shared" si="2"/>
        <v>0</v>
      </c>
      <c r="P17" s="120"/>
      <c r="Q17" s="127"/>
      <c r="R17" s="127"/>
      <c r="S17" s="119">
        <f t="shared" si="3"/>
        <v>0</v>
      </c>
    </row>
    <row r="18" spans="2:19" s="1" customFormat="1" ht="6.5" customHeight="1" x14ac:dyDescent="0.2">
      <c r="B18" s="113"/>
      <c r="C18" s="21"/>
      <c r="D18" s="3"/>
      <c r="E18" s="119"/>
      <c r="F18" s="119"/>
      <c r="G18" s="119"/>
      <c r="H18" s="120"/>
      <c r="I18" s="119"/>
      <c r="J18" s="119"/>
      <c r="K18" s="119"/>
      <c r="L18" s="120"/>
      <c r="M18" s="119"/>
      <c r="N18" s="119"/>
      <c r="O18" s="119"/>
      <c r="P18" s="120"/>
      <c r="Q18" s="119"/>
      <c r="R18" s="119"/>
      <c r="S18" s="119"/>
    </row>
    <row r="19" spans="2:19" s="1" customFormat="1" ht="18" thickBot="1" x14ac:dyDescent="0.25">
      <c r="B19" s="115"/>
      <c r="C19" s="115" t="s">
        <v>58</v>
      </c>
      <c r="D19" s="3"/>
      <c r="E19" s="295">
        <f>SUM(E5:E17)</f>
        <v>0</v>
      </c>
      <c r="F19" s="295">
        <f>SUM(F5:F17)</f>
        <v>0</v>
      </c>
      <c r="G19" s="121">
        <f>SUM(G5:G17)</f>
        <v>0</v>
      </c>
      <c r="H19" s="120"/>
      <c r="I19" s="215">
        <f>SUM(I5:I17)</f>
        <v>0</v>
      </c>
      <c r="J19" s="215">
        <f>SUM(J5:J17)</f>
        <v>0</v>
      </c>
      <c r="K19" s="121">
        <f>SUM(K5:K17)</f>
        <v>0</v>
      </c>
      <c r="L19" s="120"/>
      <c r="M19" s="214">
        <f>SUM(M5:M17)</f>
        <v>0</v>
      </c>
      <c r="N19" s="214">
        <f>SUM(N5:N17)</f>
        <v>0</v>
      </c>
      <c r="O19" s="121">
        <f>SUM(O5:O17)</f>
        <v>0</v>
      </c>
      <c r="P19" s="120"/>
      <c r="Q19" s="216">
        <f>SUM(Q5:Q17)</f>
        <v>0</v>
      </c>
      <c r="R19" s="216">
        <f>SUM(R5:R17)</f>
        <v>0</v>
      </c>
      <c r="S19" s="121">
        <f>SUM(S5:S17)</f>
        <v>0</v>
      </c>
    </row>
    <row r="20" spans="2:19" s="1" customFormat="1" ht="6.5" customHeight="1" thickTop="1" x14ac:dyDescent="0.2">
      <c r="B20" s="113"/>
      <c r="C20" s="21"/>
      <c r="D20" s="3"/>
      <c r="E20" s="119"/>
      <c r="F20" s="119"/>
      <c r="G20" s="119"/>
      <c r="H20" s="120"/>
      <c r="I20" s="119"/>
      <c r="J20" s="119"/>
      <c r="K20" s="119"/>
      <c r="L20" s="120"/>
      <c r="M20" s="119"/>
      <c r="N20" s="119"/>
      <c r="O20" s="119"/>
      <c r="P20" s="120"/>
      <c r="Q20" s="119"/>
      <c r="R20" s="119"/>
      <c r="S20" s="119"/>
    </row>
    <row r="21" spans="2:19" s="1" customFormat="1" ht="21" x14ac:dyDescent="0.2">
      <c r="B21" s="112" t="s">
        <v>59</v>
      </c>
      <c r="C21" s="12"/>
      <c r="D21" s="3"/>
      <c r="E21" s="122"/>
      <c r="F21" s="122"/>
      <c r="G21" s="119"/>
      <c r="H21" s="120"/>
      <c r="I21" s="122"/>
      <c r="J21" s="122"/>
      <c r="K21" s="119"/>
      <c r="L21" s="120"/>
      <c r="M21" s="122"/>
      <c r="N21" s="122"/>
      <c r="O21" s="119"/>
      <c r="P21" s="120"/>
      <c r="Q21" s="122"/>
      <c r="R21" s="122"/>
      <c r="S21" s="119"/>
    </row>
    <row r="22" spans="2:19" s="1" customFormat="1" ht="15" customHeight="1" x14ac:dyDescent="0.2">
      <c r="B22" s="151" t="s">
        <v>60</v>
      </c>
      <c r="C22" s="152" t="s">
        <v>61</v>
      </c>
      <c r="D22" s="3"/>
      <c r="E22" s="294"/>
      <c r="F22" s="294"/>
      <c r="G22" s="119">
        <f t="shared" ref="G22:G36" si="4">SUM(E22:F22)</f>
        <v>0</v>
      </c>
      <c r="H22" s="120"/>
      <c r="I22" s="118"/>
      <c r="J22" s="118"/>
      <c r="K22" s="119">
        <f t="shared" ref="K22:K36" si="5">SUM(I22:J22)</f>
        <v>0</v>
      </c>
      <c r="L22" s="120"/>
      <c r="M22" s="126"/>
      <c r="N22" s="126"/>
      <c r="O22" s="119">
        <f t="shared" ref="O22:O36" si="6">SUM(M22:N22)</f>
        <v>0</v>
      </c>
      <c r="P22" s="120"/>
      <c r="Q22" s="127"/>
      <c r="R22" s="127"/>
      <c r="S22" s="119">
        <f t="shared" ref="S22:S36" si="7">SUM(Q22:R22)</f>
        <v>0</v>
      </c>
    </row>
    <row r="23" spans="2:19" s="1" customFormat="1" ht="15" customHeight="1" x14ac:dyDescent="0.2">
      <c r="B23" s="153" t="s">
        <v>62</v>
      </c>
      <c r="C23" s="154"/>
      <c r="D23" s="3"/>
      <c r="E23" s="294"/>
      <c r="F23" s="294"/>
      <c r="G23" s="119">
        <f t="shared" si="4"/>
        <v>0</v>
      </c>
      <c r="H23" s="120"/>
      <c r="I23" s="118"/>
      <c r="J23" s="118"/>
      <c r="K23" s="119">
        <f t="shared" si="5"/>
        <v>0</v>
      </c>
      <c r="L23" s="120"/>
      <c r="M23" s="126"/>
      <c r="N23" s="126"/>
      <c r="O23" s="119">
        <f t="shared" si="6"/>
        <v>0</v>
      </c>
      <c r="P23" s="120"/>
      <c r="Q23" s="127"/>
      <c r="R23" s="127"/>
      <c r="S23" s="119">
        <f t="shared" si="7"/>
        <v>0</v>
      </c>
    </row>
    <row r="24" spans="2:19" s="1" customFormat="1" ht="28.5" customHeight="1" x14ac:dyDescent="0.2">
      <c r="B24" s="153" t="s">
        <v>63</v>
      </c>
      <c r="C24" s="154"/>
      <c r="D24" s="3"/>
      <c r="E24" s="294"/>
      <c r="F24" s="294"/>
      <c r="G24" s="119">
        <f t="shared" si="4"/>
        <v>0</v>
      </c>
      <c r="H24" s="120"/>
      <c r="I24" s="118"/>
      <c r="J24" s="118"/>
      <c r="K24" s="119">
        <f t="shared" si="5"/>
        <v>0</v>
      </c>
      <c r="L24" s="120"/>
      <c r="M24" s="126"/>
      <c r="N24" s="126"/>
      <c r="O24" s="119">
        <f t="shared" si="6"/>
        <v>0</v>
      </c>
      <c r="P24" s="120"/>
      <c r="Q24" s="127"/>
      <c r="R24" s="127"/>
      <c r="S24" s="119">
        <f t="shared" si="7"/>
        <v>0</v>
      </c>
    </row>
    <row r="25" spans="2:19" s="1" customFormat="1" ht="15" customHeight="1" x14ac:dyDescent="0.2">
      <c r="B25" s="153" t="s">
        <v>64</v>
      </c>
      <c r="C25" s="154"/>
      <c r="D25" s="3"/>
      <c r="E25" s="294"/>
      <c r="F25" s="294"/>
      <c r="G25" s="119">
        <f t="shared" si="4"/>
        <v>0</v>
      </c>
      <c r="H25" s="120"/>
      <c r="I25" s="118"/>
      <c r="J25" s="118"/>
      <c r="K25" s="119">
        <f t="shared" si="5"/>
        <v>0</v>
      </c>
      <c r="L25" s="120"/>
      <c r="M25" s="126"/>
      <c r="N25" s="126"/>
      <c r="O25" s="119">
        <f t="shared" si="6"/>
        <v>0</v>
      </c>
      <c r="P25" s="120"/>
      <c r="Q25" s="127"/>
      <c r="R25" s="127"/>
      <c r="S25" s="119">
        <f t="shared" si="7"/>
        <v>0</v>
      </c>
    </row>
    <row r="26" spans="2:19" s="1" customFormat="1" ht="15" customHeight="1" x14ac:dyDescent="0.2">
      <c r="B26" s="153" t="s">
        <v>65</v>
      </c>
      <c r="C26" s="154"/>
      <c r="D26" s="3"/>
      <c r="E26" s="294"/>
      <c r="F26" s="294"/>
      <c r="G26" s="119">
        <f t="shared" si="4"/>
        <v>0</v>
      </c>
      <c r="H26" s="120"/>
      <c r="I26" s="118"/>
      <c r="J26" s="118"/>
      <c r="K26" s="119">
        <f t="shared" si="5"/>
        <v>0</v>
      </c>
      <c r="L26" s="120"/>
      <c r="M26" s="126"/>
      <c r="N26" s="126"/>
      <c r="O26" s="119">
        <f t="shared" si="6"/>
        <v>0</v>
      </c>
      <c r="P26" s="120"/>
      <c r="Q26" s="127"/>
      <c r="R26" s="127"/>
      <c r="S26" s="119">
        <f t="shared" si="7"/>
        <v>0</v>
      </c>
    </row>
    <row r="27" spans="2:19" s="1" customFormat="1" ht="15" customHeight="1" x14ac:dyDescent="0.2">
      <c r="B27" s="153" t="s">
        <v>66</v>
      </c>
      <c r="C27" s="154"/>
      <c r="D27" s="3"/>
      <c r="E27" s="294"/>
      <c r="F27" s="294"/>
      <c r="G27" s="119">
        <f t="shared" si="4"/>
        <v>0</v>
      </c>
      <c r="H27" s="120"/>
      <c r="I27" s="118"/>
      <c r="J27" s="118"/>
      <c r="K27" s="119">
        <f t="shared" si="5"/>
        <v>0</v>
      </c>
      <c r="L27" s="120"/>
      <c r="M27" s="126"/>
      <c r="N27" s="126"/>
      <c r="O27" s="119">
        <f t="shared" si="6"/>
        <v>0</v>
      </c>
      <c r="P27" s="120"/>
      <c r="Q27" s="127"/>
      <c r="R27" s="127"/>
      <c r="S27" s="119">
        <f t="shared" si="7"/>
        <v>0</v>
      </c>
    </row>
    <row r="28" spans="2:19" s="1" customFormat="1" ht="29" customHeight="1" x14ac:dyDescent="0.2">
      <c r="B28" s="153" t="s">
        <v>67</v>
      </c>
      <c r="C28" s="154"/>
      <c r="D28" s="3"/>
      <c r="E28" s="294"/>
      <c r="F28" s="294"/>
      <c r="G28" s="119">
        <f t="shared" si="4"/>
        <v>0</v>
      </c>
      <c r="H28" s="120"/>
      <c r="I28" s="118"/>
      <c r="J28" s="118"/>
      <c r="K28" s="119">
        <f t="shared" si="5"/>
        <v>0</v>
      </c>
      <c r="L28" s="120"/>
      <c r="M28" s="126"/>
      <c r="N28" s="126"/>
      <c r="O28" s="119">
        <f t="shared" si="6"/>
        <v>0</v>
      </c>
      <c r="P28" s="120"/>
      <c r="Q28" s="127"/>
      <c r="R28" s="127"/>
      <c r="S28" s="119">
        <f t="shared" si="7"/>
        <v>0</v>
      </c>
    </row>
    <row r="29" spans="2:19" s="1" customFormat="1" ht="15" customHeight="1" x14ac:dyDescent="0.2">
      <c r="B29" s="153" t="s">
        <v>68</v>
      </c>
      <c r="C29" s="154"/>
      <c r="D29" s="3"/>
      <c r="E29" s="294"/>
      <c r="F29" s="294"/>
      <c r="G29" s="119">
        <f t="shared" si="4"/>
        <v>0</v>
      </c>
      <c r="H29" s="120"/>
      <c r="I29" s="118"/>
      <c r="J29" s="118"/>
      <c r="K29" s="119">
        <f t="shared" si="5"/>
        <v>0</v>
      </c>
      <c r="L29" s="120"/>
      <c r="M29" s="126"/>
      <c r="N29" s="126"/>
      <c r="O29" s="119">
        <f t="shared" si="6"/>
        <v>0</v>
      </c>
      <c r="P29" s="120"/>
      <c r="Q29" s="127"/>
      <c r="R29" s="127"/>
      <c r="S29" s="119">
        <f t="shared" si="7"/>
        <v>0</v>
      </c>
    </row>
    <row r="30" spans="2:19" s="1" customFormat="1" ht="29" customHeight="1" x14ac:dyDescent="0.2">
      <c r="B30" s="153" t="s">
        <v>69</v>
      </c>
      <c r="C30" s="154"/>
      <c r="D30" s="3"/>
      <c r="E30" s="294"/>
      <c r="F30" s="294"/>
      <c r="G30" s="119">
        <f t="shared" si="4"/>
        <v>0</v>
      </c>
      <c r="H30" s="120"/>
      <c r="I30" s="118"/>
      <c r="J30" s="118"/>
      <c r="K30" s="119">
        <f t="shared" si="5"/>
        <v>0</v>
      </c>
      <c r="L30" s="120"/>
      <c r="M30" s="126"/>
      <c r="N30" s="126"/>
      <c r="O30" s="119">
        <f t="shared" si="6"/>
        <v>0</v>
      </c>
      <c r="P30" s="120"/>
      <c r="Q30" s="127"/>
      <c r="R30" s="127"/>
      <c r="S30" s="119">
        <f t="shared" si="7"/>
        <v>0</v>
      </c>
    </row>
    <row r="31" spans="2:19" s="1" customFormat="1" ht="15" customHeight="1" x14ac:dyDescent="0.2">
      <c r="B31" s="153" t="s">
        <v>70</v>
      </c>
      <c r="C31" s="154"/>
      <c r="D31" s="3"/>
      <c r="E31" s="294"/>
      <c r="F31" s="294"/>
      <c r="G31" s="119">
        <f t="shared" si="4"/>
        <v>0</v>
      </c>
      <c r="H31" s="120"/>
      <c r="I31" s="118"/>
      <c r="J31" s="118"/>
      <c r="K31" s="119">
        <f t="shared" si="5"/>
        <v>0</v>
      </c>
      <c r="L31" s="120"/>
      <c r="M31" s="126"/>
      <c r="N31" s="126"/>
      <c r="O31" s="119">
        <f t="shared" si="6"/>
        <v>0</v>
      </c>
      <c r="P31" s="120"/>
      <c r="Q31" s="127"/>
      <c r="R31" s="127"/>
      <c r="S31" s="119">
        <f t="shared" si="7"/>
        <v>0</v>
      </c>
    </row>
    <row r="32" spans="2:19" s="1" customFormat="1" ht="30.5" customHeight="1" x14ac:dyDescent="0.2">
      <c r="B32" s="153" t="s">
        <v>71</v>
      </c>
      <c r="C32" s="154" t="s">
        <v>72</v>
      </c>
      <c r="D32" s="3"/>
      <c r="E32" s="294"/>
      <c r="F32" s="294"/>
      <c r="G32" s="119">
        <f t="shared" si="4"/>
        <v>0</v>
      </c>
      <c r="H32" s="120"/>
      <c r="I32" s="118"/>
      <c r="J32" s="118"/>
      <c r="K32" s="119">
        <f t="shared" si="5"/>
        <v>0</v>
      </c>
      <c r="L32" s="120"/>
      <c r="M32" s="126"/>
      <c r="N32" s="126"/>
      <c r="O32" s="119">
        <f t="shared" si="6"/>
        <v>0</v>
      </c>
      <c r="P32" s="120"/>
      <c r="Q32" s="127"/>
      <c r="R32" s="127"/>
      <c r="S32" s="119">
        <f t="shared" si="7"/>
        <v>0</v>
      </c>
    </row>
    <row r="33" spans="2:24" s="1" customFormat="1" ht="15" customHeight="1" x14ac:dyDescent="0.2">
      <c r="B33" s="153" t="s">
        <v>73</v>
      </c>
      <c r="C33" s="154"/>
      <c r="D33" s="3"/>
      <c r="E33" s="294"/>
      <c r="F33" s="294"/>
      <c r="G33" s="119">
        <f t="shared" si="4"/>
        <v>0</v>
      </c>
      <c r="H33" s="120"/>
      <c r="I33" s="118"/>
      <c r="J33" s="118"/>
      <c r="K33" s="119">
        <f t="shared" si="5"/>
        <v>0</v>
      </c>
      <c r="L33" s="120"/>
      <c r="M33" s="126"/>
      <c r="N33" s="126"/>
      <c r="O33" s="119">
        <f t="shared" si="6"/>
        <v>0</v>
      </c>
      <c r="P33" s="120"/>
      <c r="Q33" s="127"/>
      <c r="R33" s="127"/>
      <c r="S33" s="119">
        <f t="shared" si="7"/>
        <v>0</v>
      </c>
    </row>
    <row r="34" spans="2:24" s="1" customFormat="1" ht="29" customHeight="1" x14ac:dyDescent="0.2">
      <c r="B34" s="153" t="s">
        <v>74</v>
      </c>
      <c r="C34" s="154" t="s">
        <v>75</v>
      </c>
      <c r="D34" s="3"/>
      <c r="E34" s="294"/>
      <c r="F34" s="294"/>
      <c r="G34" s="119">
        <f t="shared" si="4"/>
        <v>0</v>
      </c>
      <c r="H34" s="120"/>
      <c r="I34" s="118"/>
      <c r="J34" s="118"/>
      <c r="K34" s="119">
        <f t="shared" si="5"/>
        <v>0</v>
      </c>
      <c r="L34" s="120"/>
      <c r="M34" s="126"/>
      <c r="N34" s="126"/>
      <c r="O34" s="119">
        <f t="shared" si="6"/>
        <v>0</v>
      </c>
      <c r="P34" s="120"/>
      <c r="Q34" s="127"/>
      <c r="R34" s="127"/>
      <c r="S34" s="119">
        <f t="shared" si="7"/>
        <v>0</v>
      </c>
    </row>
    <row r="35" spans="2:24" s="1" customFormat="1" ht="29" customHeight="1" x14ac:dyDescent="0.2">
      <c r="B35" s="153" t="s">
        <v>76</v>
      </c>
      <c r="C35" s="154" t="s">
        <v>77</v>
      </c>
      <c r="D35" s="3"/>
      <c r="E35" s="294"/>
      <c r="F35" s="294"/>
      <c r="G35" s="119">
        <f t="shared" si="4"/>
        <v>0</v>
      </c>
      <c r="H35" s="120"/>
      <c r="I35" s="118"/>
      <c r="J35" s="118"/>
      <c r="K35" s="119">
        <f t="shared" si="5"/>
        <v>0</v>
      </c>
      <c r="L35" s="120"/>
      <c r="M35" s="126"/>
      <c r="N35" s="126"/>
      <c r="O35" s="119">
        <f t="shared" si="6"/>
        <v>0</v>
      </c>
      <c r="P35" s="120"/>
      <c r="Q35" s="127"/>
      <c r="R35" s="127"/>
      <c r="S35" s="119">
        <f t="shared" si="7"/>
        <v>0</v>
      </c>
    </row>
    <row r="36" spans="2:24" s="1" customFormat="1" ht="15" customHeight="1" x14ac:dyDescent="0.2">
      <c r="B36" s="153" t="s">
        <v>78</v>
      </c>
      <c r="C36" s="154"/>
      <c r="D36" s="3"/>
      <c r="E36" s="294"/>
      <c r="F36" s="294"/>
      <c r="G36" s="119">
        <f t="shared" si="4"/>
        <v>0</v>
      </c>
      <c r="H36" s="120"/>
      <c r="I36" s="118"/>
      <c r="J36" s="118"/>
      <c r="K36" s="119">
        <f t="shared" si="5"/>
        <v>0</v>
      </c>
      <c r="L36" s="120"/>
      <c r="M36" s="126"/>
      <c r="N36" s="126"/>
      <c r="O36" s="119">
        <f t="shared" si="6"/>
        <v>0</v>
      </c>
      <c r="P36" s="120"/>
      <c r="Q36" s="127"/>
      <c r="R36" s="127"/>
      <c r="S36" s="119">
        <f t="shared" si="7"/>
        <v>0</v>
      </c>
    </row>
    <row r="37" spans="2:24" s="1" customFormat="1" ht="6.5" customHeight="1" x14ac:dyDescent="0.2">
      <c r="B37" s="113"/>
      <c r="C37" s="21"/>
      <c r="D37" s="3"/>
      <c r="E37" s="119"/>
      <c r="F37" s="119"/>
      <c r="G37" s="119"/>
      <c r="H37" s="120"/>
      <c r="I37" s="119"/>
      <c r="J37" s="119"/>
      <c r="K37" s="119"/>
      <c r="L37" s="120"/>
      <c r="M37" s="119"/>
      <c r="N37" s="119"/>
      <c r="O37" s="119"/>
      <c r="P37" s="120"/>
      <c r="Q37" s="119"/>
      <c r="R37" s="119"/>
      <c r="S37" s="119"/>
    </row>
    <row r="38" spans="2:24" s="1" customFormat="1" ht="18" thickBot="1" x14ac:dyDescent="0.25">
      <c r="C38" s="115" t="s">
        <v>79</v>
      </c>
      <c r="D38" s="3"/>
      <c r="E38" s="295">
        <f>SUM(E22:E36)</f>
        <v>0</v>
      </c>
      <c r="F38" s="295">
        <f>SUM(F22:F36)</f>
        <v>0</v>
      </c>
      <c r="G38" s="121">
        <f>SUM(G22:G36)</f>
        <v>0</v>
      </c>
      <c r="H38" s="120"/>
      <c r="I38" s="215">
        <f>SUM(I22:I36)</f>
        <v>0</v>
      </c>
      <c r="J38" s="215">
        <f>SUM(J22:J36)</f>
        <v>0</v>
      </c>
      <c r="K38" s="121">
        <f>SUM(K22:K36)</f>
        <v>0</v>
      </c>
      <c r="L38" s="120"/>
      <c r="M38" s="214">
        <f>SUM(M22:M36)</f>
        <v>0</v>
      </c>
      <c r="N38" s="214">
        <f>SUM(N22:N36)</f>
        <v>0</v>
      </c>
      <c r="O38" s="121">
        <f>SUM(O22:O36)</f>
        <v>0</v>
      </c>
      <c r="P38" s="120"/>
      <c r="Q38" s="216">
        <f>SUM(Q22:Q36)</f>
        <v>0</v>
      </c>
      <c r="R38" s="216">
        <f>SUM(R22:R36)</f>
        <v>0</v>
      </c>
      <c r="S38" s="121">
        <f>SUM(S22:S36)</f>
        <v>0</v>
      </c>
    </row>
    <row r="39" spans="2:24" s="1" customFormat="1" ht="6.5" customHeight="1" thickTop="1" x14ac:dyDescent="0.2">
      <c r="B39" s="113"/>
      <c r="C39" s="21"/>
      <c r="D39" s="3"/>
      <c r="E39" s="123"/>
      <c r="F39" s="123"/>
      <c r="G39" s="124"/>
      <c r="H39" s="125"/>
      <c r="I39" s="123"/>
      <c r="J39" s="123"/>
      <c r="K39" s="124"/>
      <c r="L39" s="125"/>
      <c r="M39" s="123"/>
      <c r="N39" s="123"/>
      <c r="O39" s="124"/>
      <c r="P39" s="125"/>
      <c r="Q39" s="123"/>
      <c r="R39" s="123"/>
      <c r="S39" s="124"/>
    </row>
    <row r="40" spans="2:24" s="35" customFormat="1" ht="17" thickBot="1" x14ac:dyDescent="0.25">
      <c r="C40" s="161" t="s">
        <v>80</v>
      </c>
      <c r="E40" s="296">
        <f>E19-E38</f>
        <v>0</v>
      </c>
      <c r="F40" s="296">
        <f>F19-F38</f>
        <v>0</v>
      </c>
      <c r="G40" s="218">
        <f>G19-G38</f>
        <v>0</v>
      </c>
      <c r="H40" s="218"/>
      <c r="I40" s="217">
        <f>I19-I38</f>
        <v>0</v>
      </c>
      <c r="J40" s="217">
        <f>J19-J38</f>
        <v>0</v>
      </c>
      <c r="K40" s="218">
        <f>K19-K38</f>
        <v>0</v>
      </c>
      <c r="L40" s="218"/>
      <c r="M40" s="219">
        <f>M19-M38</f>
        <v>0</v>
      </c>
      <c r="N40" s="219">
        <f>N19-N38</f>
        <v>0</v>
      </c>
      <c r="O40" s="218">
        <f>O19-O38</f>
        <v>0</v>
      </c>
      <c r="P40" s="220"/>
      <c r="Q40" s="221">
        <f>Q19-Q38</f>
        <v>0</v>
      </c>
      <c r="R40" s="325">
        <f>R19-R38</f>
        <v>0</v>
      </c>
      <c r="S40" s="326">
        <f>S19-S38</f>
        <v>0</v>
      </c>
    </row>
    <row r="41" spans="2:24" s="1" customFormat="1" ht="6.5" customHeight="1" thickTop="1" x14ac:dyDescent="0.2">
      <c r="B41" s="113"/>
      <c r="C41" s="21"/>
      <c r="D41" s="3"/>
      <c r="E41" s="123"/>
      <c r="F41" s="123"/>
      <c r="G41" s="124"/>
      <c r="H41" s="125"/>
      <c r="I41" s="123"/>
      <c r="J41" s="123"/>
      <c r="K41" s="124"/>
      <c r="L41" s="125"/>
      <c r="M41" s="123"/>
      <c r="N41" s="123"/>
      <c r="O41" s="124"/>
      <c r="P41" s="125"/>
      <c r="Q41" s="123"/>
      <c r="R41" s="123"/>
      <c r="S41" s="124"/>
    </row>
    <row r="42" spans="2:24" ht="21" x14ac:dyDescent="0.2">
      <c r="B42" s="112" t="s">
        <v>81</v>
      </c>
      <c r="C42" s="12"/>
      <c r="E42" s="119"/>
      <c r="F42" s="119"/>
      <c r="G42" s="119"/>
      <c r="H42" s="120"/>
      <c r="I42" s="119"/>
      <c r="J42" s="119"/>
      <c r="K42" s="119"/>
      <c r="L42" s="120"/>
      <c r="M42" s="119"/>
      <c r="N42" s="119"/>
      <c r="O42" s="119"/>
      <c r="P42" s="120"/>
      <c r="Q42" s="119"/>
      <c r="R42" s="119"/>
      <c r="S42" s="119"/>
    </row>
    <row r="43" spans="2:24" ht="34.25" customHeight="1" x14ac:dyDescent="0.2">
      <c r="B43" s="151" t="s">
        <v>82</v>
      </c>
      <c r="C43" s="152" t="s">
        <v>83</v>
      </c>
      <c r="E43" s="294"/>
      <c r="F43" s="294"/>
      <c r="G43" s="119">
        <f>SUM(E43:F43)</f>
        <v>0</v>
      </c>
      <c r="H43" s="120"/>
      <c r="I43" s="118"/>
      <c r="J43" s="118"/>
      <c r="K43" s="119">
        <f>SUM(I43:J43)</f>
        <v>0</v>
      </c>
      <c r="L43" s="120"/>
      <c r="M43" s="126"/>
      <c r="N43" s="126"/>
      <c r="O43" s="119">
        <f>SUM(M43:N43)</f>
        <v>0</v>
      </c>
      <c r="P43" s="120"/>
      <c r="Q43" s="127"/>
      <c r="R43" s="127"/>
      <c r="S43" s="119">
        <f>SUM(Q43:R43)</f>
        <v>0</v>
      </c>
      <c r="X43" s="1"/>
    </row>
    <row r="44" spans="2:24" ht="15" customHeight="1" x14ac:dyDescent="0.2">
      <c r="B44" s="153" t="s">
        <v>84</v>
      </c>
      <c r="C44" s="155"/>
      <c r="E44" s="294"/>
      <c r="F44" s="294"/>
      <c r="G44" s="119">
        <f>SUM(E44:F44)</f>
        <v>0</v>
      </c>
      <c r="H44" s="120"/>
      <c r="I44" s="118"/>
      <c r="J44" s="118"/>
      <c r="K44" s="119">
        <f>SUM(I44:J44)</f>
        <v>0</v>
      </c>
      <c r="L44" s="120"/>
      <c r="M44" s="126"/>
      <c r="N44" s="126"/>
      <c r="O44" s="119">
        <f>SUM(M44:N44)</f>
        <v>0</v>
      </c>
      <c r="P44" s="120"/>
      <c r="Q44" s="127"/>
      <c r="R44" s="127"/>
      <c r="S44" s="119">
        <f>SUM(Q44:R44)</f>
        <v>0</v>
      </c>
    </row>
    <row r="46" spans="2:24" x14ac:dyDescent="0.2">
      <c r="B46" s="114"/>
      <c r="C46" s="12"/>
      <c r="E46" s="22"/>
      <c r="M46" s="22"/>
      <c r="Q46" s="22"/>
    </row>
  </sheetData>
  <sheetProtection sheet="1" formatColumns="0" selectLockedCells="1"/>
  <customSheetViews>
    <customSheetView guid="{359010A1-0405-4C05-8A51-03FA4E24F244}" showGridLines="0" topLeftCell="B1">
      <selection activeCell="M2" sqref="M2:N2"/>
    </customSheetView>
    <customSheetView guid="{6E4277CF-1161-4602-99B2-7466BE4F7FEC}" showGridLines="0" hiddenColumns="1" topLeftCell="B1">
      <selection activeCell="N1" sqref="N1:O1048576"/>
    </customSheetView>
  </customSheetViews>
  <mergeCells count="4">
    <mergeCell ref="E2:F2"/>
    <mergeCell ref="M2:N2"/>
    <mergeCell ref="Q2:R2"/>
    <mergeCell ref="I2:J2"/>
  </mergeCells>
  <pageMargins left="0.25" right="0.25" top="0.75" bottom="0.75" header="0.3" footer="0.3"/>
  <pageSetup paperSize="9" scale="72" orientation="landscape" r:id="rId1"/>
  <ignoredErrors>
    <ignoredError sqref="S5:S9 S36 S2 S11:S17 S22:S34"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3" id="{BBB6D3EB-60CD-4259-9542-4871BB967509}">
            <xm:f>'1 Start here'!$C$12=""</xm:f>
            <x14:dxf>
              <font>
                <color theme="0"/>
              </font>
              <fill>
                <patternFill>
                  <bgColor theme="0"/>
                </patternFill>
              </fill>
              <border>
                <left/>
                <right/>
                <top/>
                <bottom/>
                <vertical/>
                <horizontal/>
              </border>
            </x14:dxf>
          </x14:cfRule>
          <xm:sqref>I2:J2</xm:sqref>
        </x14:conditionalFormatting>
        <x14:conditionalFormatting xmlns:xm="http://schemas.microsoft.com/office/excel/2006/main">
          <x14:cfRule type="expression" priority="8" id="{E076CC31-4EF4-4839-B2C6-8E1AC4BB9140}">
            <xm:f>'1 Start here'!$C$12=""</xm:f>
            <x14:dxf>
              <font>
                <color theme="0"/>
              </font>
              <fill>
                <patternFill>
                  <bgColor theme="0"/>
                </patternFill>
              </fill>
              <border>
                <left/>
                <right/>
                <top/>
                <bottom/>
                <vertical/>
                <horizontal/>
              </border>
            </x14:dxf>
          </x14:cfRule>
          <xm:sqref>M1:O50</xm:sqref>
        </x14:conditionalFormatting>
        <x14:conditionalFormatting xmlns:xm="http://schemas.microsoft.com/office/excel/2006/main">
          <x14:cfRule type="expression" priority="2" id="{7A68FAFE-4D68-472D-A3C2-8FC95CF9B119}">
            <xm:f>'1 Start here'!$C$12=""</xm:f>
            <x14:dxf>
              <font>
                <color theme="0"/>
              </font>
              <fill>
                <patternFill>
                  <bgColor theme="0"/>
                </patternFill>
              </fill>
              <border>
                <left/>
                <right/>
                <top/>
                <bottom/>
                <vertical/>
                <horizontal/>
              </border>
            </x14:dxf>
          </x14:cfRule>
          <xm:sqref>Q46</xm:sqref>
        </x14:conditionalFormatting>
        <x14:conditionalFormatting xmlns:xm="http://schemas.microsoft.com/office/excel/2006/main">
          <x14:cfRule type="expression" priority="9" id="{24C69695-FAFC-47DF-B7C5-F7B538E66286}">
            <xm:f>'1 Start here'!$C$13=""</xm:f>
            <x14:dxf>
              <font>
                <color theme="0"/>
              </font>
              <fill>
                <patternFill patternType="none">
                  <bgColor auto="1"/>
                </patternFill>
              </fill>
              <border>
                <left/>
                <right/>
                <top/>
                <bottom/>
                <vertical/>
                <horizontal/>
              </border>
            </x14:dxf>
          </x14:cfRule>
          <xm:sqref>Q1:S45 R46:S46 Q47:S50</xm:sqref>
        </x14:conditionalFormatting>
        <x14:conditionalFormatting xmlns:xm="http://schemas.microsoft.com/office/excel/2006/main">
          <x14:cfRule type="expression" priority="4" id="{B7379A09-0190-4D66-8EE0-35532679EC12}">
            <xm:f>'1 Start here'!$C$13=""</xm:f>
            <x14:dxf>
              <font>
                <color theme="0"/>
              </font>
              <fill>
                <patternFill patternType="none">
                  <bgColor auto="1"/>
                </patternFill>
              </fill>
              <border>
                <left/>
                <right/>
                <top/>
                <bottom/>
                <vertical/>
                <horizontal/>
              </border>
            </x14:dxf>
          </x14:cfRule>
          <xm:sqref>R3:S4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53B2-4804-4EDC-B68F-DC6E36F34E85}">
  <sheetPr>
    <tabColor theme="5"/>
    <pageSetUpPr fitToPage="1"/>
  </sheetPr>
  <dimension ref="A1:O204"/>
  <sheetViews>
    <sheetView showGridLines="0" workbookViewId="0">
      <pane ySplit="3" topLeftCell="A4" activePane="bottomLeft" state="frozen"/>
      <selection pane="bottomLeft" activeCell="B4" sqref="B4:D4"/>
    </sheetView>
  </sheetViews>
  <sheetFormatPr baseColWidth="10" defaultColWidth="7.5" defaultRowHeight="13" outlineLevelCol="1" x14ac:dyDescent="0.15"/>
  <cols>
    <col min="1" max="1" width="3.6640625" style="25" customWidth="1"/>
    <col min="2" max="2" width="14.83203125" style="116" customWidth="1"/>
    <col min="3" max="4" width="14.83203125" style="26" customWidth="1"/>
    <col min="5" max="5" width="8.6640625" style="26" hidden="1" customWidth="1" outlineLevel="1"/>
    <col min="6" max="6" width="15.83203125" style="26" customWidth="1" collapsed="1"/>
    <col min="7" max="7" width="13.5" style="25" bestFit="1" customWidth="1"/>
    <col min="8" max="8" width="12.5" style="25" customWidth="1"/>
    <col min="9" max="9" width="10.1640625" style="25" customWidth="1"/>
    <col min="10" max="10" width="9.5" style="25" customWidth="1"/>
    <col min="11" max="11" width="8.33203125" style="25" customWidth="1"/>
    <col min="12" max="12" width="9" style="25" customWidth="1"/>
    <col min="13" max="13" width="15.5" style="25" customWidth="1"/>
    <col min="14" max="16384" width="7.5" style="25"/>
  </cols>
  <sheetData>
    <row r="1" spans="1:13" ht="23.5" customHeight="1" x14ac:dyDescent="0.15"/>
    <row r="2" spans="1:13" s="17" customFormat="1" ht="25" thickBot="1" x14ac:dyDescent="0.3">
      <c r="A2" s="5"/>
      <c r="B2" s="349" t="s">
        <v>85</v>
      </c>
      <c r="C2" s="349"/>
      <c r="D2" s="211">
        <f>'1 Start here'!C18</f>
        <v>0</v>
      </c>
      <c r="F2" s="18"/>
      <c r="G2" s="18"/>
      <c r="H2" s="18"/>
      <c r="I2" s="18"/>
    </row>
    <row r="3" spans="1:13" s="29" customFormat="1" ht="19" thickTop="1" thickBot="1" x14ac:dyDescent="0.2">
      <c r="B3" s="209" t="s">
        <v>86</v>
      </c>
      <c r="C3" s="210" t="s">
        <v>87</v>
      </c>
      <c r="D3" s="210" t="s">
        <v>88</v>
      </c>
      <c r="E3" s="28" t="s">
        <v>89</v>
      </c>
    </row>
    <row r="4" spans="1:13" ht="20" x14ac:dyDescent="0.25">
      <c r="B4" s="128"/>
      <c r="C4" s="129"/>
      <c r="D4" s="129"/>
      <c r="E4" s="232"/>
      <c r="F4" s="25"/>
      <c r="I4" s="343" t="s">
        <v>90</v>
      </c>
      <c r="J4" s="343"/>
      <c r="K4" s="343"/>
      <c r="L4" s="343"/>
      <c r="M4" s="343"/>
    </row>
    <row r="5" spans="1:13" ht="16" x14ac:dyDescent="0.2">
      <c r="B5" s="128"/>
      <c r="C5" s="129"/>
      <c r="D5" s="129"/>
      <c r="E5" s="232"/>
      <c r="F5" s="25"/>
      <c r="I5" s="351" t="s">
        <v>91</v>
      </c>
      <c r="J5" s="351"/>
      <c r="K5" s="351"/>
      <c r="L5" s="351"/>
      <c r="M5" s="351"/>
    </row>
    <row r="6" spans="1:13" ht="15" x14ac:dyDescent="0.2">
      <c r="B6" s="128"/>
      <c r="C6" s="129"/>
      <c r="D6" s="129"/>
      <c r="E6" s="232"/>
      <c r="I6" s="101" t="s">
        <v>92</v>
      </c>
      <c r="J6" s="350" t="s">
        <v>93</v>
      </c>
      <c r="K6" s="350"/>
      <c r="L6" s="350"/>
      <c r="M6" s="350"/>
    </row>
    <row r="7" spans="1:13" ht="15" x14ac:dyDescent="0.2">
      <c r="B7" s="128"/>
      <c r="C7" s="129"/>
      <c r="D7" s="129"/>
      <c r="E7" s="232"/>
      <c r="I7" s="101" t="s">
        <v>94</v>
      </c>
      <c r="J7" s="350" t="s">
        <v>95</v>
      </c>
      <c r="K7" s="350"/>
      <c r="L7" s="350"/>
      <c r="M7" s="350"/>
    </row>
    <row r="8" spans="1:13" ht="15" x14ac:dyDescent="0.2">
      <c r="B8" s="128"/>
      <c r="C8" s="129"/>
      <c r="D8" s="129"/>
      <c r="E8" s="232"/>
      <c r="I8" s="101" t="s">
        <v>96</v>
      </c>
      <c r="J8" s="350" t="s">
        <v>97</v>
      </c>
      <c r="K8" s="350"/>
      <c r="L8" s="350"/>
      <c r="M8" s="350"/>
    </row>
    <row r="9" spans="1:13" ht="15" x14ac:dyDescent="0.2">
      <c r="B9" s="128"/>
      <c r="C9" s="129"/>
      <c r="D9" s="129"/>
      <c r="E9" s="232"/>
    </row>
    <row r="10" spans="1:13" ht="15" x14ac:dyDescent="0.2">
      <c r="B10" s="128"/>
      <c r="C10" s="129"/>
      <c r="D10" s="129"/>
      <c r="E10" s="232"/>
    </row>
    <row r="11" spans="1:13" ht="21" thickBot="1" x14ac:dyDescent="0.3">
      <c r="B11" s="128"/>
      <c r="C11" s="129"/>
      <c r="D11" s="129"/>
      <c r="E11" s="232"/>
      <c r="F11" s="25"/>
      <c r="G11"/>
      <c r="H11"/>
      <c r="I11" s="343" t="s">
        <v>98</v>
      </c>
      <c r="J11" s="343"/>
      <c r="K11" s="343"/>
      <c r="L11" s="343"/>
      <c r="M11" s="343"/>
    </row>
    <row r="12" spans="1:13" ht="15" customHeight="1" thickTop="1" thickBot="1" x14ac:dyDescent="0.25">
      <c r="B12" s="128"/>
      <c r="C12" s="129"/>
      <c r="D12" s="129"/>
      <c r="E12" s="232"/>
      <c r="F12" s="27"/>
      <c r="G12"/>
      <c r="H12"/>
      <c r="I12" s="352" t="s">
        <v>99</v>
      </c>
      <c r="J12" s="352"/>
      <c r="K12" s="352"/>
      <c r="L12" s="352"/>
      <c r="M12" s="351"/>
    </row>
    <row r="13" spans="1:13" ht="15" customHeight="1" thickTop="1" x14ac:dyDescent="0.2">
      <c r="B13" s="128"/>
      <c r="C13" s="129"/>
      <c r="D13" s="129"/>
      <c r="E13" s="232"/>
      <c r="F13" s="25"/>
      <c r="G13"/>
      <c r="H13"/>
      <c r="I13" s="353" t="s">
        <v>100</v>
      </c>
      <c r="J13" s="353"/>
      <c r="K13" s="353"/>
      <c r="L13" s="327">
        <f>SUBTOTAL(109,B:B)</f>
        <v>0</v>
      </c>
    </row>
    <row r="14" spans="1:13" ht="15" x14ac:dyDescent="0.2">
      <c r="B14" s="128"/>
      <c r="C14" s="129"/>
      <c r="D14" s="129"/>
      <c r="E14" s="232"/>
      <c r="G14"/>
      <c r="H14"/>
      <c r="I14" s="353" t="s">
        <v>101</v>
      </c>
      <c r="J14" s="353"/>
      <c r="K14" s="353"/>
      <c r="L14" s="327">
        <f>_xlfn.XLOOKUP(D2,Calculations!H47:H50,Calculations!I47:I50,"Giving year doesn't match a finance history year")</f>
        <v>0</v>
      </c>
    </row>
    <row r="15" spans="1:13" ht="15" x14ac:dyDescent="0.2">
      <c r="B15" s="128"/>
      <c r="C15" s="129"/>
      <c r="D15" s="129"/>
      <c r="E15" s="232"/>
      <c r="F15" s="25"/>
      <c r="G15"/>
      <c r="H15"/>
      <c r="I15" s="354" t="s">
        <v>102</v>
      </c>
      <c r="J15" s="354"/>
      <c r="K15" s="354"/>
      <c r="L15" s="354"/>
      <c r="M15" s="354"/>
    </row>
    <row r="16" spans="1:13" ht="15" x14ac:dyDescent="0.2">
      <c r="B16" s="128"/>
      <c r="C16" s="129"/>
      <c r="D16" s="129"/>
      <c r="E16" s="232"/>
      <c r="G16"/>
      <c r="H16"/>
      <c r="I16" s="354"/>
      <c r="J16" s="354"/>
      <c r="K16" s="354"/>
      <c r="L16" s="354"/>
      <c r="M16" s="354"/>
    </row>
    <row r="17" spans="2:13" ht="15" x14ac:dyDescent="0.2">
      <c r="B17" s="128"/>
      <c r="C17" s="129"/>
      <c r="D17" s="129"/>
      <c r="E17" s="232"/>
      <c r="F17" s="25"/>
      <c r="K17" s="14"/>
      <c r="L17" s="14"/>
      <c r="M17"/>
    </row>
    <row r="18" spans="2:13" ht="15" x14ac:dyDescent="0.2">
      <c r="B18" s="128"/>
      <c r="C18" s="129"/>
      <c r="D18" s="129"/>
      <c r="E18" s="232"/>
      <c r="F18" s="25"/>
      <c r="K18" s="14"/>
      <c r="L18" s="14"/>
      <c r="M18"/>
    </row>
    <row r="19" spans="2:13" ht="15" x14ac:dyDescent="0.2">
      <c r="B19" s="128"/>
      <c r="C19" s="129"/>
      <c r="D19" s="129"/>
      <c r="E19" s="232"/>
      <c r="F19" s="25"/>
    </row>
    <row r="20" spans="2:13" ht="15" x14ac:dyDescent="0.2">
      <c r="B20" s="128"/>
      <c r="C20" s="129"/>
      <c r="D20" s="129"/>
      <c r="E20" s="232"/>
      <c r="F20" s="25"/>
    </row>
    <row r="21" spans="2:13" ht="15" x14ac:dyDescent="0.2">
      <c r="B21" s="128"/>
      <c r="C21" s="129"/>
      <c r="D21" s="129"/>
      <c r="E21" s="232"/>
      <c r="F21" s="25"/>
    </row>
    <row r="22" spans="2:13" ht="15" x14ac:dyDescent="0.2">
      <c r="B22" s="128"/>
      <c r="C22" s="129"/>
      <c r="D22" s="129"/>
      <c r="E22" s="232"/>
      <c r="F22" s="25"/>
    </row>
    <row r="23" spans="2:13" ht="15" x14ac:dyDescent="0.2">
      <c r="B23" s="128"/>
      <c r="C23" s="129"/>
      <c r="D23" s="129"/>
      <c r="E23" s="232"/>
      <c r="F23" s="25"/>
    </row>
    <row r="24" spans="2:13" ht="15" x14ac:dyDescent="0.2">
      <c r="B24" s="128"/>
      <c r="C24" s="129"/>
      <c r="D24" s="129"/>
      <c r="E24" s="232"/>
      <c r="F24" s="25"/>
    </row>
    <row r="25" spans="2:13" ht="15" x14ac:dyDescent="0.2">
      <c r="B25" s="128"/>
      <c r="C25" s="129"/>
      <c r="D25" s="129"/>
      <c r="E25" s="232"/>
      <c r="F25" s="25"/>
    </row>
    <row r="26" spans="2:13" ht="15" x14ac:dyDescent="0.2">
      <c r="B26" s="128"/>
      <c r="C26" s="129"/>
      <c r="D26" s="129"/>
      <c r="E26" s="232"/>
      <c r="F26" s="25"/>
    </row>
    <row r="27" spans="2:13" ht="15" x14ac:dyDescent="0.2">
      <c r="B27" s="128"/>
      <c r="C27" s="129"/>
      <c r="D27" s="129"/>
      <c r="E27" s="232"/>
      <c r="F27" s="212"/>
    </row>
    <row r="28" spans="2:13" ht="15" x14ac:dyDescent="0.2">
      <c r="B28" s="128"/>
      <c r="C28" s="129"/>
      <c r="D28" s="129"/>
      <c r="E28" s="232"/>
      <c r="F28" s="25"/>
    </row>
    <row r="29" spans="2:13" ht="15" x14ac:dyDescent="0.2">
      <c r="B29" s="128"/>
      <c r="C29" s="129"/>
      <c r="D29" s="129"/>
      <c r="E29" s="232"/>
      <c r="F29" s="25"/>
    </row>
    <row r="30" spans="2:13" ht="15" x14ac:dyDescent="0.2">
      <c r="B30" s="128"/>
      <c r="C30" s="129"/>
      <c r="D30" s="129"/>
      <c r="E30" s="232"/>
      <c r="F30" s="25"/>
    </row>
    <row r="31" spans="2:13" ht="15" x14ac:dyDescent="0.2">
      <c r="B31" s="128"/>
      <c r="C31" s="129"/>
      <c r="D31" s="129"/>
      <c r="E31" s="232"/>
      <c r="F31" s="25"/>
    </row>
    <row r="32" spans="2:13" ht="15" x14ac:dyDescent="0.2">
      <c r="B32" s="128"/>
      <c r="C32" s="129"/>
      <c r="D32" s="129"/>
      <c r="E32" s="232"/>
      <c r="F32" s="25"/>
    </row>
    <row r="33" spans="2:15" ht="15" x14ac:dyDescent="0.2">
      <c r="B33" s="128"/>
      <c r="C33" s="129"/>
      <c r="D33" s="129"/>
      <c r="E33" s="232"/>
      <c r="F33" s="25"/>
    </row>
    <row r="34" spans="2:15" ht="15" x14ac:dyDescent="0.2">
      <c r="B34" s="128"/>
      <c r="C34" s="129"/>
      <c r="D34" s="129"/>
      <c r="E34" s="232"/>
      <c r="F34" s="25"/>
    </row>
    <row r="35" spans="2:15" ht="15" x14ac:dyDescent="0.2">
      <c r="B35" s="128"/>
      <c r="C35" s="129"/>
      <c r="D35" s="129"/>
      <c r="E35" s="232"/>
      <c r="F35" s="25"/>
      <c r="N35" s="117"/>
      <c r="O35" s="117"/>
    </row>
    <row r="36" spans="2:15" ht="15" x14ac:dyDescent="0.2">
      <c r="B36" s="128"/>
      <c r="C36" s="129"/>
      <c r="D36" s="129"/>
      <c r="E36" s="232"/>
      <c r="F36" s="25"/>
    </row>
    <row r="37" spans="2:15" ht="15" x14ac:dyDescent="0.2">
      <c r="B37" s="128"/>
      <c r="C37" s="129"/>
      <c r="D37" s="129"/>
      <c r="E37" s="232"/>
      <c r="F37" s="25"/>
    </row>
    <row r="38" spans="2:15" ht="15" x14ac:dyDescent="0.2">
      <c r="B38" s="128"/>
      <c r="C38" s="129"/>
      <c r="D38" s="129"/>
      <c r="E38" s="232"/>
      <c r="F38" s="25"/>
    </row>
    <row r="39" spans="2:15" ht="15" x14ac:dyDescent="0.2">
      <c r="B39" s="128"/>
      <c r="C39" s="129"/>
      <c r="D39" s="129"/>
      <c r="E39" s="232"/>
      <c r="F39" s="25"/>
    </row>
    <row r="40" spans="2:15" ht="15" x14ac:dyDescent="0.2">
      <c r="B40" s="128"/>
      <c r="C40" s="129"/>
      <c r="D40" s="129"/>
      <c r="E40" s="232"/>
      <c r="F40" s="25"/>
    </row>
    <row r="41" spans="2:15" ht="15" x14ac:dyDescent="0.2">
      <c r="B41" s="128"/>
      <c r="C41" s="129"/>
      <c r="D41" s="129"/>
      <c r="E41" s="232"/>
      <c r="F41" s="25"/>
    </row>
    <row r="42" spans="2:15" ht="15" x14ac:dyDescent="0.2">
      <c r="B42" s="128"/>
      <c r="C42" s="129"/>
      <c r="D42" s="129"/>
      <c r="E42" s="232"/>
      <c r="F42" s="25"/>
    </row>
    <row r="43" spans="2:15" ht="15" x14ac:dyDescent="0.2">
      <c r="B43" s="128"/>
      <c r="C43" s="129"/>
      <c r="D43" s="129"/>
      <c r="E43" s="232"/>
      <c r="F43" s="25"/>
    </row>
    <row r="44" spans="2:15" ht="15" x14ac:dyDescent="0.2">
      <c r="B44" s="128"/>
      <c r="C44" s="129"/>
      <c r="D44" s="129"/>
      <c r="E44" s="232"/>
      <c r="F44" s="25"/>
    </row>
    <row r="45" spans="2:15" ht="15" x14ac:dyDescent="0.2">
      <c r="B45" s="128"/>
      <c r="C45" s="129"/>
      <c r="D45" s="129"/>
      <c r="E45" s="232"/>
      <c r="F45" s="25"/>
    </row>
    <row r="46" spans="2:15" ht="15" x14ac:dyDescent="0.2">
      <c r="B46" s="128"/>
      <c r="C46" s="129"/>
      <c r="D46" s="129"/>
      <c r="E46" s="232"/>
      <c r="F46" s="25"/>
    </row>
    <row r="47" spans="2:15" ht="15" x14ac:dyDescent="0.2">
      <c r="B47" s="128"/>
      <c r="C47" s="129"/>
      <c r="D47" s="129"/>
      <c r="E47" s="232"/>
      <c r="F47" s="25"/>
    </row>
    <row r="48" spans="2:15" ht="15" x14ac:dyDescent="0.2">
      <c r="B48" s="128"/>
      <c r="C48" s="129"/>
      <c r="D48" s="129"/>
      <c r="E48" s="232"/>
      <c r="F48" s="25"/>
    </row>
    <row r="49" spans="2:6" ht="15" x14ac:dyDescent="0.2">
      <c r="B49" s="128"/>
      <c r="C49" s="129"/>
      <c r="D49" s="129"/>
      <c r="E49" s="232"/>
      <c r="F49" s="25"/>
    </row>
    <row r="50" spans="2:6" ht="15" x14ac:dyDescent="0.2">
      <c r="B50" s="128"/>
      <c r="C50" s="129"/>
      <c r="D50" s="129"/>
      <c r="E50" s="232"/>
      <c r="F50" s="25"/>
    </row>
    <row r="51" spans="2:6" ht="15" x14ac:dyDescent="0.2">
      <c r="B51" s="128"/>
      <c r="C51" s="129"/>
      <c r="D51" s="129"/>
      <c r="E51" s="232"/>
      <c r="F51" s="25"/>
    </row>
    <row r="52" spans="2:6" ht="15" x14ac:dyDescent="0.2">
      <c r="B52" s="128"/>
      <c r="C52" s="129"/>
      <c r="D52" s="129"/>
      <c r="E52" s="232"/>
      <c r="F52" s="25"/>
    </row>
    <row r="53" spans="2:6" ht="15" x14ac:dyDescent="0.2">
      <c r="B53" s="128"/>
      <c r="C53" s="129"/>
      <c r="D53" s="129"/>
      <c r="E53" s="232"/>
      <c r="F53" s="25"/>
    </row>
    <row r="54" spans="2:6" ht="15" x14ac:dyDescent="0.2">
      <c r="B54" s="128"/>
      <c r="C54" s="129"/>
      <c r="D54" s="129"/>
      <c r="E54" s="232"/>
      <c r="F54" s="25"/>
    </row>
    <row r="55" spans="2:6" ht="15" x14ac:dyDescent="0.2">
      <c r="B55" s="128"/>
      <c r="C55" s="129"/>
      <c r="D55" s="129"/>
      <c r="E55" s="232"/>
      <c r="F55" s="25"/>
    </row>
    <row r="56" spans="2:6" ht="15" x14ac:dyDescent="0.2">
      <c r="B56" s="128"/>
      <c r="C56" s="129"/>
      <c r="D56" s="129"/>
      <c r="E56" s="232"/>
      <c r="F56" s="25"/>
    </row>
    <row r="57" spans="2:6" ht="15" x14ac:dyDescent="0.2">
      <c r="B57" s="128"/>
      <c r="C57" s="129"/>
      <c r="D57" s="129"/>
      <c r="E57" s="232"/>
      <c r="F57" s="25"/>
    </row>
    <row r="58" spans="2:6" ht="15" x14ac:dyDescent="0.2">
      <c r="B58" s="128"/>
      <c r="C58" s="129"/>
      <c r="D58" s="129"/>
      <c r="E58" s="232"/>
      <c r="F58" s="25"/>
    </row>
    <row r="59" spans="2:6" ht="15" x14ac:dyDescent="0.2">
      <c r="B59" s="128"/>
      <c r="C59" s="129"/>
      <c r="D59" s="129"/>
      <c r="E59" s="232"/>
      <c r="F59" s="25"/>
    </row>
    <row r="60" spans="2:6" ht="15" x14ac:dyDescent="0.2">
      <c r="B60" s="128"/>
      <c r="C60" s="129"/>
      <c r="D60" s="129"/>
      <c r="E60" s="232"/>
      <c r="F60" s="25"/>
    </row>
    <row r="61" spans="2:6" ht="15" x14ac:dyDescent="0.2">
      <c r="B61" s="128"/>
      <c r="C61" s="129"/>
      <c r="D61" s="129"/>
      <c r="E61" s="232"/>
    </row>
    <row r="62" spans="2:6" ht="15" x14ac:dyDescent="0.2">
      <c r="B62" s="128"/>
      <c r="C62" s="129"/>
      <c r="D62" s="129"/>
      <c r="E62" s="232"/>
    </row>
    <row r="63" spans="2:6" ht="15" x14ac:dyDescent="0.2">
      <c r="B63" s="128"/>
      <c r="C63" s="129"/>
      <c r="D63" s="129"/>
      <c r="E63" s="232"/>
    </row>
    <row r="64" spans="2:6" ht="15" x14ac:dyDescent="0.2">
      <c r="B64" s="128"/>
      <c r="C64" s="129"/>
      <c r="D64" s="129"/>
      <c r="E64" s="232"/>
    </row>
    <row r="65" spans="2:5" ht="15" x14ac:dyDescent="0.2">
      <c r="B65" s="128"/>
      <c r="C65" s="129"/>
      <c r="D65" s="129"/>
      <c r="E65" s="232"/>
    </row>
    <row r="66" spans="2:5" ht="15" x14ac:dyDescent="0.2">
      <c r="B66" s="128"/>
      <c r="C66" s="129"/>
      <c r="D66" s="129"/>
      <c r="E66" s="232"/>
    </row>
    <row r="67" spans="2:5" ht="15" x14ac:dyDescent="0.2">
      <c r="B67" s="128"/>
      <c r="C67" s="129"/>
      <c r="D67" s="129"/>
      <c r="E67" s="232"/>
    </row>
    <row r="68" spans="2:5" ht="15" x14ac:dyDescent="0.2">
      <c r="B68" s="128"/>
      <c r="C68" s="129"/>
      <c r="D68" s="129"/>
      <c r="E68" s="232"/>
    </row>
    <row r="69" spans="2:5" ht="15" x14ac:dyDescent="0.2">
      <c r="B69" s="128"/>
      <c r="C69" s="129"/>
      <c r="D69" s="129"/>
      <c r="E69" s="232"/>
    </row>
    <row r="70" spans="2:5" ht="15" x14ac:dyDescent="0.2">
      <c r="B70" s="128"/>
      <c r="C70" s="129"/>
      <c r="D70" s="129"/>
      <c r="E70" s="232"/>
    </row>
    <row r="71" spans="2:5" ht="15" x14ac:dyDescent="0.2">
      <c r="B71" s="128"/>
      <c r="C71" s="129"/>
      <c r="D71" s="129"/>
      <c r="E71" s="232"/>
    </row>
    <row r="72" spans="2:5" ht="15" x14ac:dyDescent="0.2">
      <c r="B72" s="128"/>
      <c r="C72" s="129"/>
      <c r="D72" s="129"/>
      <c r="E72" s="232"/>
    </row>
    <row r="73" spans="2:5" ht="15" x14ac:dyDescent="0.2">
      <c r="B73" s="128"/>
      <c r="C73" s="129"/>
      <c r="D73" s="129"/>
      <c r="E73" s="232"/>
    </row>
    <row r="74" spans="2:5" ht="15" x14ac:dyDescent="0.2">
      <c r="B74" s="128"/>
      <c r="C74" s="129"/>
      <c r="D74" s="129"/>
      <c r="E74" s="232"/>
    </row>
    <row r="75" spans="2:5" ht="15" x14ac:dyDescent="0.2">
      <c r="B75" s="128"/>
      <c r="C75" s="129"/>
      <c r="D75" s="129"/>
      <c r="E75" s="232"/>
    </row>
    <row r="76" spans="2:5" ht="15" x14ac:dyDescent="0.2">
      <c r="B76" s="128"/>
      <c r="C76" s="129"/>
      <c r="D76" s="129"/>
      <c r="E76" s="232"/>
    </row>
    <row r="77" spans="2:5" ht="15" x14ac:dyDescent="0.2">
      <c r="B77" s="128"/>
      <c r="C77" s="129"/>
      <c r="D77" s="129"/>
      <c r="E77" s="232"/>
    </row>
    <row r="78" spans="2:5" ht="15" x14ac:dyDescent="0.2">
      <c r="B78" s="128"/>
      <c r="C78" s="129"/>
      <c r="D78" s="129"/>
      <c r="E78" s="232"/>
    </row>
    <row r="79" spans="2:5" ht="15" x14ac:dyDescent="0.2">
      <c r="B79" s="128"/>
      <c r="C79" s="129"/>
      <c r="D79" s="129"/>
      <c r="E79" s="232"/>
    </row>
    <row r="80" spans="2:5" ht="15" x14ac:dyDescent="0.2">
      <c r="B80" s="128"/>
      <c r="C80" s="129"/>
      <c r="D80" s="129"/>
      <c r="E80" s="232"/>
    </row>
    <row r="81" spans="2:5" ht="15" x14ac:dyDescent="0.2">
      <c r="B81" s="128"/>
      <c r="C81" s="129"/>
      <c r="D81" s="129"/>
      <c r="E81" s="232"/>
    </row>
    <row r="82" spans="2:5" ht="15" x14ac:dyDescent="0.2">
      <c r="B82" s="128"/>
      <c r="C82" s="129"/>
      <c r="D82" s="129"/>
      <c r="E82" s="232"/>
    </row>
    <row r="83" spans="2:5" ht="15" x14ac:dyDescent="0.2">
      <c r="B83" s="128"/>
      <c r="C83" s="129"/>
      <c r="D83" s="129"/>
      <c r="E83" s="232"/>
    </row>
    <row r="84" spans="2:5" ht="15" x14ac:dyDescent="0.2">
      <c r="B84" s="128"/>
      <c r="C84" s="129"/>
      <c r="D84" s="129"/>
      <c r="E84" s="232"/>
    </row>
    <row r="85" spans="2:5" ht="15" x14ac:dyDescent="0.2">
      <c r="B85" s="128"/>
      <c r="C85" s="129"/>
      <c r="D85" s="129"/>
      <c r="E85" s="232"/>
    </row>
    <row r="86" spans="2:5" ht="15" x14ac:dyDescent="0.2">
      <c r="B86" s="128"/>
      <c r="C86" s="129"/>
      <c r="D86" s="129"/>
      <c r="E86" s="232"/>
    </row>
    <row r="87" spans="2:5" ht="15" x14ac:dyDescent="0.2">
      <c r="B87" s="128"/>
      <c r="C87" s="129"/>
      <c r="D87" s="129"/>
      <c r="E87" s="232"/>
    </row>
    <row r="88" spans="2:5" ht="15" x14ac:dyDescent="0.2">
      <c r="B88" s="128"/>
      <c r="C88" s="129"/>
      <c r="D88" s="129"/>
      <c r="E88" s="232"/>
    </row>
    <row r="89" spans="2:5" ht="15" x14ac:dyDescent="0.2">
      <c r="B89" s="128"/>
      <c r="C89" s="129"/>
      <c r="D89" s="129"/>
      <c r="E89" s="232"/>
    </row>
    <row r="90" spans="2:5" ht="15" x14ac:dyDescent="0.2">
      <c r="B90" s="128"/>
      <c r="C90" s="129"/>
      <c r="D90" s="129"/>
      <c r="E90" s="232"/>
    </row>
    <row r="91" spans="2:5" ht="15" x14ac:dyDescent="0.2">
      <c r="B91" s="128"/>
      <c r="C91" s="129"/>
      <c r="D91" s="129"/>
      <c r="E91" s="232"/>
    </row>
    <row r="92" spans="2:5" ht="15" x14ac:dyDescent="0.2">
      <c r="B92" s="128"/>
      <c r="C92" s="129"/>
      <c r="D92" s="129"/>
      <c r="E92" s="232"/>
    </row>
    <row r="93" spans="2:5" ht="15" x14ac:dyDescent="0.2">
      <c r="B93" s="128"/>
      <c r="C93" s="129"/>
      <c r="D93" s="129"/>
      <c r="E93" s="232"/>
    </row>
    <row r="94" spans="2:5" ht="15" x14ac:dyDescent="0.2">
      <c r="B94" s="128"/>
      <c r="C94" s="129"/>
      <c r="D94" s="129"/>
      <c r="E94" s="232"/>
    </row>
    <row r="95" spans="2:5" ht="15" x14ac:dyDescent="0.2">
      <c r="B95" s="128"/>
      <c r="C95" s="129"/>
      <c r="D95" s="129"/>
      <c r="E95" s="232"/>
    </row>
    <row r="96" spans="2:5" ht="15" x14ac:dyDescent="0.2">
      <c r="B96" s="128"/>
      <c r="C96" s="129"/>
      <c r="D96" s="129"/>
      <c r="E96" s="232"/>
    </row>
    <row r="97" spans="2:5" ht="15" x14ac:dyDescent="0.2">
      <c r="B97" s="128"/>
      <c r="C97" s="129"/>
      <c r="D97" s="129"/>
      <c r="E97" s="232"/>
    </row>
    <row r="98" spans="2:5" ht="15" x14ac:dyDescent="0.2">
      <c r="B98" s="128"/>
      <c r="C98" s="129"/>
      <c r="D98" s="129"/>
      <c r="E98" s="232"/>
    </row>
    <row r="99" spans="2:5" ht="15" x14ac:dyDescent="0.2">
      <c r="B99" s="128"/>
      <c r="C99" s="129"/>
      <c r="D99" s="129"/>
      <c r="E99" s="232"/>
    </row>
    <row r="100" spans="2:5" ht="15" x14ac:dyDescent="0.2">
      <c r="B100" s="128"/>
      <c r="C100" s="129"/>
      <c r="D100" s="129"/>
      <c r="E100" s="232"/>
    </row>
    <row r="101" spans="2:5" ht="15" x14ac:dyDescent="0.2">
      <c r="B101" s="128"/>
      <c r="C101" s="129"/>
      <c r="D101" s="129"/>
      <c r="E101" s="232"/>
    </row>
    <row r="102" spans="2:5" ht="15" x14ac:dyDescent="0.2">
      <c r="B102" s="128"/>
      <c r="C102" s="129"/>
      <c r="D102" s="129"/>
      <c r="E102" s="232"/>
    </row>
    <row r="103" spans="2:5" ht="15" x14ac:dyDescent="0.2">
      <c r="B103" s="128"/>
      <c r="C103" s="129"/>
      <c r="D103" s="129"/>
      <c r="E103" s="232"/>
    </row>
    <row r="104" spans="2:5" ht="15" x14ac:dyDescent="0.2">
      <c r="B104" s="128"/>
      <c r="C104" s="129"/>
      <c r="D104" s="129"/>
      <c r="E104" s="232"/>
    </row>
    <row r="105" spans="2:5" ht="15" x14ac:dyDescent="0.2">
      <c r="B105" s="128"/>
      <c r="C105" s="129"/>
      <c r="D105" s="129"/>
      <c r="E105" s="232"/>
    </row>
    <row r="106" spans="2:5" ht="15" x14ac:dyDescent="0.2">
      <c r="B106" s="128"/>
      <c r="C106" s="129"/>
      <c r="D106" s="129"/>
      <c r="E106" s="232"/>
    </row>
    <row r="107" spans="2:5" ht="15" x14ac:dyDescent="0.2">
      <c r="B107" s="128"/>
      <c r="C107" s="129"/>
      <c r="D107" s="129"/>
      <c r="E107" s="232"/>
    </row>
    <row r="108" spans="2:5" ht="15" x14ac:dyDescent="0.2">
      <c r="B108" s="128"/>
      <c r="C108" s="129"/>
      <c r="D108" s="129"/>
      <c r="E108" s="232"/>
    </row>
    <row r="109" spans="2:5" ht="15" x14ac:dyDescent="0.2">
      <c r="B109" s="128"/>
      <c r="C109" s="129"/>
      <c r="D109" s="129"/>
      <c r="E109" s="232"/>
    </row>
    <row r="110" spans="2:5" ht="15" x14ac:dyDescent="0.2">
      <c r="B110" s="128"/>
      <c r="C110" s="129"/>
      <c r="D110" s="129"/>
      <c r="E110" s="232"/>
    </row>
    <row r="111" spans="2:5" ht="15" x14ac:dyDescent="0.2">
      <c r="B111" s="128"/>
      <c r="C111" s="129"/>
      <c r="D111" s="129"/>
      <c r="E111" s="232"/>
    </row>
    <row r="112" spans="2:5" ht="15" x14ac:dyDescent="0.2">
      <c r="B112" s="128"/>
      <c r="C112" s="129"/>
      <c r="D112" s="129"/>
      <c r="E112" s="232"/>
    </row>
    <row r="113" spans="2:5" ht="15" x14ac:dyDescent="0.2">
      <c r="B113" s="128"/>
      <c r="C113" s="129"/>
      <c r="D113" s="129"/>
      <c r="E113" s="232"/>
    </row>
    <row r="114" spans="2:5" ht="15" x14ac:dyDescent="0.2">
      <c r="B114" s="128"/>
      <c r="C114" s="129"/>
      <c r="D114" s="129"/>
      <c r="E114" s="232"/>
    </row>
    <row r="115" spans="2:5" ht="15" x14ac:dyDescent="0.2">
      <c r="B115" s="128"/>
      <c r="C115" s="129"/>
      <c r="D115" s="129"/>
      <c r="E115" s="232"/>
    </row>
    <row r="116" spans="2:5" ht="15" x14ac:dyDescent="0.2">
      <c r="B116" s="128"/>
      <c r="C116" s="129"/>
      <c r="D116" s="129"/>
      <c r="E116" s="232"/>
    </row>
    <row r="117" spans="2:5" ht="15" x14ac:dyDescent="0.2">
      <c r="B117" s="128"/>
      <c r="C117" s="129"/>
      <c r="D117" s="129"/>
      <c r="E117" s="232"/>
    </row>
    <row r="118" spans="2:5" ht="15" x14ac:dyDescent="0.2">
      <c r="B118" s="128"/>
      <c r="C118" s="129"/>
      <c r="D118" s="129"/>
      <c r="E118" s="232"/>
    </row>
    <row r="119" spans="2:5" ht="15" x14ac:dyDescent="0.2">
      <c r="B119" s="128"/>
      <c r="C119" s="129"/>
      <c r="D119" s="129"/>
      <c r="E119" s="232"/>
    </row>
    <row r="120" spans="2:5" ht="15" x14ac:dyDescent="0.2">
      <c r="B120" s="128"/>
      <c r="C120" s="129"/>
      <c r="D120" s="129"/>
      <c r="E120" s="232"/>
    </row>
    <row r="121" spans="2:5" ht="15" x14ac:dyDescent="0.2">
      <c r="B121" s="128"/>
      <c r="C121" s="129"/>
      <c r="D121" s="129"/>
      <c r="E121" s="233"/>
    </row>
    <row r="122" spans="2:5" ht="15" x14ac:dyDescent="0.2">
      <c r="B122" s="128"/>
      <c r="C122" s="129"/>
      <c r="D122" s="129"/>
      <c r="E122" s="232"/>
    </row>
    <row r="123" spans="2:5" ht="15" x14ac:dyDescent="0.2">
      <c r="B123" s="128"/>
      <c r="C123" s="129"/>
      <c r="D123" s="129"/>
      <c r="E123" s="232"/>
    </row>
    <row r="124" spans="2:5" ht="15" x14ac:dyDescent="0.2">
      <c r="B124" s="128"/>
      <c r="C124" s="129"/>
      <c r="D124" s="129"/>
      <c r="E124" s="232"/>
    </row>
    <row r="125" spans="2:5" ht="15" x14ac:dyDescent="0.2">
      <c r="B125" s="128"/>
      <c r="C125" s="129"/>
      <c r="D125" s="129"/>
      <c r="E125" s="232"/>
    </row>
    <row r="126" spans="2:5" ht="15" x14ac:dyDescent="0.2">
      <c r="B126" s="128"/>
      <c r="C126" s="129"/>
      <c r="D126" s="129"/>
      <c r="E126" s="232"/>
    </row>
    <row r="127" spans="2:5" ht="15" x14ac:dyDescent="0.2">
      <c r="B127" s="128"/>
      <c r="C127" s="129"/>
      <c r="D127" s="129"/>
      <c r="E127" s="232"/>
    </row>
    <row r="128" spans="2:5" ht="15" x14ac:dyDescent="0.2">
      <c r="B128" s="128"/>
      <c r="C128" s="129"/>
      <c r="D128" s="129"/>
      <c r="E128" s="232"/>
    </row>
    <row r="129" spans="2:6" ht="15" x14ac:dyDescent="0.2">
      <c r="B129" s="128"/>
      <c r="C129" s="129"/>
      <c r="D129" s="129"/>
      <c r="E129" s="232"/>
    </row>
    <row r="130" spans="2:6" ht="15" x14ac:dyDescent="0.2">
      <c r="B130" s="128"/>
      <c r="C130" s="129"/>
      <c r="D130" s="129"/>
      <c r="E130" s="232"/>
    </row>
    <row r="131" spans="2:6" ht="15" x14ac:dyDescent="0.2">
      <c r="B131" s="128"/>
      <c r="C131" s="129"/>
      <c r="D131" s="129"/>
      <c r="E131" s="232"/>
    </row>
    <row r="132" spans="2:6" ht="15" x14ac:dyDescent="0.2">
      <c r="B132" s="128"/>
      <c r="C132" s="129"/>
      <c r="D132" s="129"/>
      <c r="E132" s="232"/>
    </row>
    <row r="133" spans="2:6" ht="15" x14ac:dyDescent="0.2">
      <c r="B133" s="128"/>
      <c r="C133" s="129"/>
      <c r="D133" s="129"/>
      <c r="E133" s="232"/>
    </row>
    <row r="134" spans="2:6" ht="15" x14ac:dyDescent="0.2">
      <c r="B134" s="128"/>
      <c r="C134" s="129"/>
      <c r="D134" s="129"/>
      <c r="E134" s="232"/>
    </row>
    <row r="135" spans="2:6" ht="15" x14ac:dyDescent="0.2">
      <c r="B135" s="128"/>
      <c r="C135" s="129"/>
      <c r="D135" s="129"/>
      <c r="E135" s="232"/>
      <c r="F135" s="25"/>
    </row>
    <row r="136" spans="2:6" ht="15" x14ac:dyDescent="0.2">
      <c r="B136" s="128"/>
      <c r="C136" s="129"/>
      <c r="D136" s="129"/>
      <c r="E136" s="232"/>
      <c r="F136" s="25"/>
    </row>
    <row r="137" spans="2:6" ht="15" x14ac:dyDescent="0.2">
      <c r="B137" s="128"/>
      <c r="C137" s="129"/>
      <c r="D137" s="129"/>
      <c r="E137" s="232"/>
      <c r="F137" s="25"/>
    </row>
    <row r="138" spans="2:6" ht="15" x14ac:dyDescent="0.2">
      <c r="B138" s="128"/>
      <c r="C138" s="129"/>
      <c r="D138" s="129"/>
      <c r="E138" s="232"/>
      <c r="F138" s="25"/>
    </row>
    <row r="139" spans="2:6" ht="15" x14ac:dyDescent="0.2">
      <c r="B139" s="128"/>
      <c r="C139" s="129"/>
      <c r="D139" s="129"/>
      <c r="E139" s="232"/>
      <c r="F139" s="25"/>
    </row>
    <row r="140" spans="2:6" ht="15" x14ac:dyDescent="0.2">
      <c r="B140" s="128"/>
      <c r="C140" s="129"/>
      <c r="D140" s="129"/>
      <c r="E140" s="232"/>
      <c r="F140" s="25"/>
    </row>
    <row r="141" spans="2:6" ht="15" x14ac:dyDescent="0.2">
      <c r="B141" s="128"/>
      <c r="C141" s="129"/>
      <c r="D141" s="129"/>
      <c r="E141" s="232"/>
      <c r="F141" s="25"/>
    </row>
    <row r="142" spans="2:6" ht="15" x14ac:dyDescent="0.2">
      <c r="B142" s="128"/>
      <c r="C142" s="129"/>
      <c r="D142" s="129"/>
      <c r="E142" s="232"/>
      <c r="F142" s="25"/>
    </row>
    <row r="143" spans="2:6" ht="15" x14ac:dyDescent="0.2">
      <c r="B143" s="128"/>
      <c r="C143" s="129"/>
      <c r="D143" s="129"/>
      <c r="E143" s="232"/>
      <c r="F143" s="25"/>
    </row>
    <row r="144" spans="2:6" ht="15" x14ac:dyDescent="0.2">
      <c r="B144" s="128"/>
      <c r="C144" s="129"/>
      <c r="D144" s="129"/>
      <c r="E144" s="232"/>
      <c r="F144" s="25"/>
    </row>
    <row r="145" spans="2:6" ht="15" x14ac:dyDescent="0.2">
      <c r="B145" s="128"/>
      <c r="C145" s="129"/>
      <c r="D145" s="129"/>
      <c r="E145" s="232"/>
      <c r="F145" s="25"/>
    </row>
    <row r="146" spans="2:6" ht="15" x14ac:dyDescent="0.2">
      <c r="B146" s="128"/>
      <c r="C146" s="129"/>
      <c r="D146" s="129"/>
      <c r="E146" s="232"/>
      <c r="F146" s="25"/>
    </row>
    <row r="147" spans="2:6" ht="15" x14ac:dyDescent="0.2">
      <c r="B147" s="128"/>
      <c r="C147" s="129"/>
      <c r="D147" s="129"/>
      <c r="E147" s="232"/>
      <c r="F147" s="25"/>
    </row>
    <row r="148" spans="2:6" ht="15" x14ac:dyDescent="0.2">
      <c r="B148" s="128"/>
      <c r="C148" s="129"/>
      <c r="D148" s="129"/>
      <c r="E148" s="232"/>
      <c r="F148" s="25"/>
    </row>
    <row r="149" spans="2:6" ht="15" x14ac:dyDescent="0.2">
      <c r="B149" s="128"/>
      <c r="C149" s="129"/>
      <c r="D149" s="129"/>
      <c r="E149" s="232"/>
      <c r="F149" s="25"/>
    </row>
    <row r="150" spans="2:6" ht="15" x14ac:dyDescent="0.2">
      <c r="B150" s="128"/>
      <c r="C150" s="129"/>
      <c r="D150" s="129"/>
      <c r="E150" s="232"/>
      <c r="F150" s="25"/>
    </row>
    <row r="151" spans="2:6" ht="15" x14ac:dyDescent="0.2">
      <c r="B151" s="128"/>
      <c r="C151" s="129"/>
      <c r="D151" s="129"/>
      <c r="E151" s="232"/>
      <c r="F151" s="25"/>
    </row>
    <row r="152" spans="2:6" ht="15" x14ac:dyDescent="0.2">
      <c r="B152" s="128"/>
      <c r="C152" s="129"/>
      <c r="D152" s="129"/>
      <c r="E152" s="232"/>
      <c r="F152" s="25"/>
    </row>
    <row r="153" spans="2:6" ht="15" x14ac:dyDescent="0.2">
      <c r="B153" s="128"/>
      <c r="C153" s="129"/>
      <c r="D153" s="129"/>
      <c r="E153" s="232"/>
      <c r="F153" s="25"/>
    </row>
    <row r="154" spans="2:6" ht="15" x14ac:dyDescent="0.2">
      <c r="B154" s="128"/>
      <c r="C154" s="129"/>
      <c r="D154" s="129"/>
      <c r="E154" s="232"/>
      <c r="F154" s="25"/>
    </row>
    <row r="155" spans="2:6" ht="15" x14ac:dyDescent="0.2">
      <c r="B155" s="128"/>
      <c r="C155" s="129"/>
      <c r="D155" s="129"/>
      <c r="E155" s="232"/>
      <c r="F155" s="25"/>
    </row>
    <row r="156" spans="2:6" ht="15" x14ac:dyDescent="0.2">
      <c r="B156" s="128"/>
      <c r="C156" s="129"/>
      <c r="D156" s="129"/>
      <c r="E156" s="232"/>
      <c r="F156" s="25"/>
    </row>
    <row r="157" spans="2:6" ht="15" x14ac:dyDescent="0.2">
      <c r="B157" s="128"/>
      <c r="C157" s="129"/>
      <c r="D157" s="129"/>
      <c r="E157" s="232"/>
      <c r="F157" s="25"/>
    </row>
    <row r="158" spans="2:6" ht="15" x14ac:dyDescent="0.2">
      <c r="B158" s="128"/>
      <c r="C158" s="129"/>
      <c r="D158" s="129"/>
      <c r="E158" s="232"/>
      <c r="F158" s="25"/>
    </row>
    <row r="159" spans="2:6" ht="15" x14ac:dyDescent="0.2">
      <c r="B159" s="128"/>
      <c r="C159" s="129"/>
      <c r="D159" s="129"/>
      <c r="E159" s="232"/>
      <c r="F159" s="25"/>
    </row>
    <row r="160" spans="2:6" ht="15" x14ac:dyDescent="0.2">
      <c r="B160" s="128"/>
      <c r="C160" s="129"/>
      <c r="D160" s="129"/>
      <c r="E160" s="232"/>
      <c r="F160" s="25"/>
    </row>
    <row r="161" spans="2:6" ht="15" x14ac:dyDescent="0.2">
      <c r="B161" s="128"/>
      <c r="C161" s="129"/>
      <c r="D161" s="129"/>
      <c r="E161" s="232"/>
      <c r="F161" s="25"/>
    </row>
    <row r="162" spans="2:6" ht="15" x14ac:dyDescent="0.2">
      <c r="B162" s="128"/>
      <c r="C162" s="129"/>
      <c r="D162" s="129"/>
      <c r="E162" s="232"/>
      <c r="F162" s="25"/>
    </row>
    <row r="163" spans="2:6" ht="15" x14ac:dyDescent="0.2">
      <c r="B163" s="128"/>
      <c r="C163" s="129"/>
      <c r="D163" s="129"/>
      <c r="E163" s="232"/>
      <c r="F163" s="25"/>
    </row>
    <row r="164" spans="2:6" ht="15" x14ac:dyDescent="0.2">
      <c r="B164" s="128"/>
      <c r="C164" s="129"/>
      <c r="D164" s="129"/>
      <c r="E164" s="232"/>
      <c r="F164" s="25"/>
    </row>
    <row r="165" spans="2:6" ht="15" x14ac:dyDescent="0.2">
      <c r="B165" s="128"/>
      <c r="C165" s="129"/>
      <c r="D165" s="129"/>
      <c r="E165" s="232"/>
      <c r="F165" s="25"/>
    </row>
    <row r="166" spans="2:6" ht="15" x14ac:dyDescent="0.2">
      <c r="B166" s="128"/>
      <c r="C166" s="129"/>
      <c r="D166" s="129"/>
      <c r="E166" s="232"/>
      <c r="F166" s="25"/>
    </row>
    <row r="167" spans="2:6" ht="15" x14ac:dyDescent="0.2">
      <c r="B167" s="128"/>
      <c r="C167" s="129"/>
      <c r="D167" s="129"/>
      <c r="E167" s="232"/>
      <c r="F167" s="25"/>
    </row>
    <row r="168" spans="2:6" ht="15" x14ac:dyDescent="0.2">
      <c r="B168" s="128"/>
      <c r="C168" s="129"/>
      <c r="D168" s="129"/>
      <c r="E168" s="232"/>
      <c r="F168" s="25"/>
    </row>
    <row r="169" spans="2:6" ht="15" x14ac:dyDescent="0.2">
      <c r="B169" s="128"/>
      <c r="C169" s="129"/>
      <c r="D169" s="129"/>
      <c r="E169" s="232"/>
      <c r="F169" s="25"/>
    </row>
    <row r="170" spans="2:6" ht="15" x14ac:dyDescent="0.2">
      <c r="B170" s="128"/>
      <c r="C170" s="129"/>
      <c r="D170" s="129"/>
      <c r="E170" s="232"/>
      <c r="F170" s="25"/>
    </row>
    <row r="171" spans="2:6" ht="15" x14ac:dyDescent="0.2">
      <c r="B171" s="128"/>
      <c r="C171" s="129"/>
      <c r="D171" s="129"/>
      <c r="E171" s="232"/>
      <c r="F171" s="25"/>
    </row>
    <row r="172" spans="2:6" ht="15" x14ac:dyDescent="0.2">
      <c r="B172" s="128"/>
      <c r="C172" s="129"/>
      <c r="D172" s="129"/>
      <c r="E172" s="232"/>
      <c r="F172" s="25"/>
    </row>
    <row r="173" spans="2:6" ht="15" x14ac:dyDescent="0.2">
      <c r="B173" s="128"/>
      <c r="C173" s="129"/>
      <c r="D173" s="129"/>
      <c r="E173" s="232"/>
      <c r="F173" s="25"/>
    </row>
    <row r="174" spans="2:6" ht="15" x14ac:dyDescent="0.2">
      <c r="B174" s="128"/>
      <c r="C174" s="129"/>
      <c r="D174" s="129"/>
      <c r="E174" s="232"/>
      <c r="F174" s="25"/>
    </row>
    <row r="175" spans="2:6" ht="15" x14ac:dyDescent="0.2">
      <c r="B175" s="128"/>
      <c r="C175" s="129"/>
      <c r="D175" s="129"/>
      <c r="E175" s="232"/>
      <c r="F175" s="25"/>
    </row>
    <row r="176" spans="2:6" ht="15" x14ac:dyDescent="0.2">
      <c r="B176" s="128"/>
      <c r="C176" s="129"/>
      <c r="D176" s="129"/>
      <c r="E176" s="232"/>
      <c r="F176" s="25"/>
    </row>
    <row r="177" spans="2:6" ht="15" x14ac:dyDescent="0.2">
      <c r="B177" s="128"/>
      <c r="C177" s="129"/>
      <c r="D177" s="129"/>
      <c r="E177" s="232"/>
      <c r="F177" s="25"/>
    </row>
    <row r="178" spans="2:6" ht="15" x14ac:dyDescent="0.2">
      <c r="B178" s="128"/>
      <c r="C178" s="129"/>
      <c r="D178" s="129"/>
      <c r="E178" s="232"/>
      <c r="F178" s="25"/>
    </row>
    <row r="179" spans="2:6" ht="15" x14ac:dyDescent="0.2">
      <c r="B179" s="128"/>
      <c r="C179" s="129"/>
      <c r="D179" s="129"/>
      <c r="E179" s="232"/>
      <c r="F179" s="25"/>
    </row>
    <row r="180" spans="2:6" ht="15" x14ac:dyDescent="0.2">
      <c r="B180" s="128"/>
      <c r="C180" s="129"/>
      <c r="D180" s="129"/>
      <c r="E180" s="232"/>
      <c r="F180" s="25"/>
    </row>
    <row r="181" spans="2:6" ht="15" x14ac:dyDescent="0.2">
      <c r="B181" s="128"/>
      <c r="C181" s="129"/>
      <c r="D181" s="129"/>
      <c r="E181" s="232"/>
      <c r="F181" s="25"/>
    </row>
    <row r="182" spans="2:6" ht="15" x14ac:dyDescent="0.2">
      <c r="B182" s="128"/>
      <c r="C182" s="129"/>
      <c r="D182" s="129"/>
      <c r="E182" s="232"/>
      <c r="F182" s="25"/>
    </row>
    <row r="183" spans="2:6" ht="15" x14ac:dyDescent="0.2">
      <c r="B183" s="128"/>
      <c r="C183" s="129"/>
      <c r="D183" s="129"/>
      <c r="E183" s="232"/>
      <c r="F183" s="25"/>
    </row>
    <row r="184" spans="2:6" ht="15" x14ac:dyDescent="0.2">
      <c r="B184" s="128"/>
      <c r="C184" s="129"/>
      <c r="D184" s="129"/>
      <c r="E184" s="232"/>
      <c r="F184" s="25"/>
    </row>
    <row r="185" spans="2:6" ht="15" x14ac:dyDescent="0.2">
      <c r="B185" s="128"/>
      <c r="C185" s="129"/>
      <c r="D185" s="129"/>
      <c r="E185" s="232"/>
      <c r="F185" s="25"/>
    </row>
    <row r="186" spans="2:6" ht="15" x14ac:dyDescent="0.2">
      <c r="B186" s="128"/>
      <c r="C186" s="129"/>
      <c r="D186" s="129"/>
      <c r="E186" s="232"/>
      <c r="F186" s="25"/>
    </row>
    <row r="187" spans="2:6" ht="15" x14ac:dyDescent="0.2">
      <c r="B187" s="128"/>
      <c r="C187" s="129"/>
      <c r="D187" s="129"/>
      <c r="E187" s="232"/>
      <c r="F187" s="25"/>
    </row>
    <row r="188" spans="2:6" ht="15" x14ac:dyDescent="0.2">
      <c r="B188" s="128"/>
      <c r="C188" s="129"/>
      <c r="D188" s="129"/>
      <c r="E188" s="232"/>
      <c r="F188" s="25"/>
    </row>
    <row r="189" spans="2:6" ht="15" x14ac:dyDescent="0.2">
      <c r="B189" s="128"/>
      <c r="C189" s="129"/>
      <c r="D189" s="129"/>
      <c r="E189" s="232"/>
      <c r="F189" s="25"/>
    </row>
    <row r="190" spans="2:6" ht="15" x14ac:dyDescent="0.2">
      <c r="B190" s="128"/>
      <c r="C190" s="129"/>
      <c r="D190" s="129"/>
      <c r="E190" s="232"/>
      <c r="F190" s="25"/>
    </row>
    <row r="191" spans="2:6" ht="15" x14ac:dyDescent="0.2">
      <c r="B191" s="128"/>
      <c r="C191" s="129"/>
      <c r="D191" s="129"/>
      <c r="E191" s="232"/>
      <c r="F191" s="25"/>
    </row>
    <row r="192" spans="2:6" ht="15" x14ac:dyDescent="0.2">
      <c r="B192" s="128"/>
      <c r="C192" s="129"/>
      <c r="D192" s="129"/>
      <c r="E192" s="232"/>
      <c r="F192" s="25"/>
    </row>
    <row r="193" spans="2:13" ht="15" x14ac:dyDescent="0.2">
      <c r="B193" s="128"/>
      <c r="C193" s="129"/>
      <c r="D193" s="129"/>
      <c r="E193" s="232"/>
      <c r="F193" s="25"/>
    </row>
    <row r="194" spans="2:13" ht="15" x14ac:dyDescent="0.2">
      <c r="B194" s="128"/>
      <c r="C194" s="129"/>
      <c r="D194" s="129"/>
      <c r="E194" s="232"/>
      <c r="F194" s="25"/>
    </row>
    <row r="195" spans="2:13" ht="15" x14ac:dyDescent="0.2">
      <c r="B195" s="128"/>
      <c r="C195" s="129"/>
      <c r="D195" s="129"/>
      <c r="E195" s="232"/>
      <c r="F195" s="25"/>
    </row>
    <row r="196" spans="2:13" ht="15" x14ac:dyDescent="0.2">
      <c r="B196" s="128"/>
      <c r="C196" s="129"/>
      <c r="D196" s="129"/>
      <c r="E196" s="232"/>
      <c r="F196" s="25"/>
    </row>
    <row r="197" spans="2:13" ht="15" x14ac:dyDescent="0.2">
      <c r="B197" s="128"/>
      <c r="C197" s="129"/>
      <c r="D197" s="129"/>
      <c r="E197" s="232"/>
      <c r="F197" s="25"/>
    </row>
    <row r="198" spans="2:13" ht="15" x14ac:dyDescent="0.2">
      <c r="B198" s="128"/>
      <c r="C198" s="129"/>
      <c r="D198" s="129"/>
      <c r="E198" s="232"/>
      <c r="F198" s="25"/>
    </row>
    <row r="199" spans="2:13" ht="15" x14ac:dyDescent="0.2">
      <c r="B199" s="128"/>
      <c r="C199" s="129"/>
      <c r="D199" s="129"/>
      <c r="E199" s="232"/>
      <c r="F199" s="25"/>
    </row>
    <row r="200" spans="2:13" ht="15" x14ac:dyDescent="0.2">
      <c r="B200" s="128"/>
      <c r="C200" s="129"/>
      <c r="D200" s="129"/>
      <c r="E200" s="232"/>
      <c r="F200" s="25"/>
    </row>
    <row r="201" spans="2:13" ht="15" x14ac:dyDescent="0.2">
      <c r="B201" s="128"/>
      <c r="C201" s="129"/>
      <c r="D201" s="129"/>
      <c r="E201" s="232"/>
      <c r="F201" s="25"/>
    </row>
    <row r="202" spans="2:13" ht="15" x14ac:dyDescent="0.2">
      <c r="B202" s="128"/>
      <c r="C202" s="129"/>
      <c r="D202" s="129"/>
      <c r="E202" s="232"/>
      <c r="F202" s="25"/>
    </row>
    <row r="203" spans="2:13" s="287" customFormat="1" ht="15" x14ac:dyDescent="0.2">
      <c r="B203" s="128"/>
      <c r="C203" s="129"/>
      <c r="D203" s="129"/>
      <c r="E203" s="232"/>
      <c r="F203" s="288" t="s">
        <v>103</v>
      </c>
      <c r="I203" s="25"/>
      <c r="J203" s="25"/>
      <c r="K203" s="25"/>
      <c r="L203" s="25"/>
      <c r="M203" s="25"/>
    </row>
    <row r="204" spans="2:13" x14ac:dyDescent="0.15">
      <c r="I204" s="287"/>
      <c r="J204" s="287"/>
      <c r="K204" s="287"/>
      <c r="L204" s="287"/>
      <c r="M204" s="287"/>
    </row>
  </sheetData>
  <sheetProtection sheet="1" formatColumns="0" selectLockedCells="1" autoFilter="0"/>
  <autoFilter ref="B3:E130" xr:uid="{CC2953B2-4804-4EDC-B68F-DC6E36F34E85}"/>
  <sortState xmlns:xlrd2="http://schemas.microsoft.com/office/spreadsheetml/2017/richdata2" ref="B12:E163">
    <sortCondition ref="B12:B163"/>
  </sortState>
  <customSheetViews>
    <customSheetView guid="{359010A1-0405-4C05-8A51-03FA4E24F244}" showGridLines="0" showAutoFilter="1" hiddenColumns="1">
      <selection activeCell="F6" sqref="F6"/>
      <autoFilter ref="B2:E129" xr:uid="{827C84D9-3254-CC4E-B538-A53FCD6EA5E0}"/>
    </customSheetView>
    <customSheetView guid="{6E4277CF-1161-4602-99B2-7466BE4F7FEC}" showGridLines="0" showAutoFilter="1" hiddenColumns="1">
      <selection activeCell="F6" sqref="F6"/>
      <autoFilter ref="B2:E129" xr:uid="{F9E6C51A-DAF4-C249-893E-7C22BA172D31}"/>
    </customSheetView>
  </customSheetViews>
  <mergeCells count="11">
    <mergeCell ref="I12:M12"/>
    <mergeCell ref="I11:M11"/>
    <mergeCell ref="I13:K13"/>
    <mergeCell ref="I14:K14"/>
    <mergeCell ref="I15:M16"/>
    <mergeCell ref="B2:C2"/>
    <mergeCell ref="J8:M8"/>
    <mergeCell ref="I5:M5"/>
    <mergeCell ref="I4:M4"/>
    <mergeCell ref="J6:M6"/>
    <mergeCell ref="J7:M7"/>
  </mergeCells>
  <conditionalFormatting sqref="B4:D203">
    <cfRule type="expression" dxfId="49" priority="9">
      <formula>$D4=$I$6</formula>
    </cfRule>
    <cfRule type="expression" dxfId="48" priority="10">
      <formula>$D4=$I$7</formula>
    </cfRule>
    <cfRule type="expression" dxfId="47" priority="11">
      <formula>$D4=$I$8</formula>
    </cfRule>
    <cfRule type="expression" dxfId="46" priority="12">
      <formula>$C4="Yes"</formula>
    </cfRule>
  </conditionalFormatting>
  <conditionalFormatting sqref="E4:E203">
    <cfRule type="cellIs" dxfId="45" priority="1" operator="equal">
      <formula>"A"</formula>
    </cfRule>
    <cfRule type="cellIs" dxfId="44" priority="2" operator="equal">
      <formula>"B"</formula>
    </cfRule>
    <cfRule type="cellIs" dxfId="43" priority="3" operator="equal">
      <formula>"C"</formula>
    </cfRule>
    <cfRule type="cellIs" dxfId="42" priority="4" operator="equal">
      <formula>"D"</formula>
    </cfRule>
  </conditionalFormatting>
  <dataValidations count="2">
    <dataValidation type="list" allowBlank="1" showInputMessage="1" showErrorMessage="1" sqref="C4:C203" xr:uid="{45583EDF-1DBA-46A4-8D1F-033E1566F018}">
      <formula1>"Yes,No"</formula1>
    </dataValidation>
    <dataValidation type="list" showInputMessage="1" showErrorMessage="1" error="Incorrect value" sqref="D4:D203" xr:uid="{053B3E8F-E581-4E9D-930C-70991DFEA050}">
      <formula1>$I$6:$I$8</formula1>
    </dataValidation>
  </dataValidations>
  <pageMargins left="0.74803149606299213" right="0.74803149606299213" top="0.98425196850393704" bottom="0.98425196850393704" header="0.51181102362204722" footer="0.51181102362204722"/>
  <pageSetup paperSize="9" scale="63" fitToHeight="5" orientation="portrait" verticalDpi="300" r:id="rId1"/>
  <headerFooter alignWithMargins="0"/>
  <rowBreaks count="1" manualBreakCount="1">
    <brk id="6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171104-FED5-47F0-BEC8-CE0D3290A3C2}">
          <x14:formula1>
            <xm:f>'5 Digging deeper'!$H$11:$H$14</xm:f>
          </x14:formula1>
          <xm:sqref>E4:E203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5D8E-D03F-4EF1-B948-A47E04F32B29}">
  <sheetPr>
    <tabColor theme="7"/>
    <pageSetUpPr fitToPage="1"/>
  </sheetPr>
  <dimension ref="A1:Q57"/>
  <sheetViews>
    <sheetView showGridLines="0" workbookViewId="0">
      <pane xSplit="4" ySplit="3" topLeftCell="E4" activePane="bottomRight" state="frozen"/>
      <selection pane="topRight" activeCell="E1" sqref="E1"/>
      <selection pane="bottomLeft" activeCell="A4" sqref="A4"/>
      <selection pane="bottomRight" activeCell="K10" sqref="K10"/>
    </sheetView>
  </sheetViews>
  <sheetFormatPr baseColWidth="10" defaultColWidth="8.6640625" defaultRowHeight="15" x14ac:dyDescent="0.2"/>
  <cols>
    <col min="1" max="1" width="3.6640625" style="2" customWidth="1"/>
    <col min="2" max="2" width="2.5" style="2" customWidth="1"/>
    <col min="3" max="3" width="17.6640625" style="2" customWidth="1"/>
    <col min="4" max="4" width="23.5" style="2" customWidth="1"/>
    <col min="5" max="5" width="1.33203125" style="3" customWidth="1"/>
    <col min="6" max="7" width="10.83203125" style="2" customWidth="1"/>
    <col min="8" max="9" width="11" style="2" customWidth="1"/>
    <col min="10" max="11" width="10.83203125" style="2" customWidth="1"/>
    <col min="12" max="12" width="1.6640625" style="2" customWidth="1"/>
    <col min="13" max="13" width="23.83203125" style="38" customWidth="1"/>
    <col min="14" max="14" width="8.1640625" style="2" customWidth="1"/>
    <col min="15" max="15" width="8.6640625" style="2" customWidth="1"/>
    <col min="16" max="16" width="0.6640625" style="2" customWidth="1"/>
    <col min="17" max="17" width="8.6640625" style="2"/>
    <col min="18" max="18" width="22.6640625" style="2" customWidth="1"/>
    <col min="19" max="16384" width="8.6640625" style="2"/>
  </cols>
  <sheetData>
    <row r="1" spans="1:17" s="17" customFormat="1" ht="24.5" customHeight="1" x14ac:dyDescent="0.15">
      <c r="A1" s="5"/>
      <c r="B1" s="349"/>
      <c r="C1" s="349"/>
      <c r="D1" s="349"/>
      <c r="E1" s="16"/>
      <c r="F1" s="16"/>
      <c r="G1" s="16"/>
      <c r="J1" s="3"/>
      <c r="K1" s="3"/>
      <c r="L1" s="18"/>
      <c r="M1" s="37"/>
      <c r="N1" s="6"/>
      <c r="O1" s="18"/>
      <c r="P1" s="18"/>
      <c r="Q1" s="18"/>
    </row>
    <row r="2" spans="1:17" s="35" customFormat="1" ht="25" thickBot="1" x14ac:dyDescent="0.25">
      <c r="B2" s="349" t="s">
        <v>104</v>
      </c>
      <c r="C2" s="349"/>
      <c r="D2" s="349"/>
      <c r="E2" s="3"/>
      <c r="F2" s="168">
        <f>'1 Start here'!C10</f>
        <v>0</v>
      </c>
      <c r="G2" s="168">
        <f>'1 Start here'!C11</f>
        <v>0</v>
      </c>
      <c r="H2" s="168">
        <f>'1 Start here'!C12</f>
        <v>0</v>
      </c>
      <c r="I2" s="168">
        <f>'1 Start here'!C13</f>
        <v>0</v>
      </c>
      <c r="J2" s="168" t="s">
        <v>105</v>
      </c>
      <c r="K2" s="168">
        <f>'1 Start here'!C21</f>
        <v>0</v>
      </c>
      <c r="M2" s="108" t="s">
        <v>106</v>
      </c>
    </row>
    <row r="3" spans="1:17" s="35" customFormat="1" ht="19" x14ac:dyDescent="0.25">
      <c r="E3" s="3"/>
      <c r="F3" s="169" t="s">
        <v>107</v>
      </c>
      <c r="G3" s="169" t="s">
        <v>107</v>
      </c>
      <c r="H3" s="169" t="s">
        <v>107</v>
      </c>
      <c r="I3" s="169" t="s">
        <v>107</v>
      </c>
      <c r="J3" s="169" t="s">
        <v>108</v>
      </c>
      <c r="K3" s="169" t="s">
        <v>109</v>
      </c>
      <c r="M3" s="110"/>
    </row>
    <row r="4" spans="1:17" s="35" customFormat="1" ht="21" thickBot="1" x14ac:dyDescent="0.3">
      <c r="B4" s="131" t="s">
        <v>35</v>
      </c>
      <c r="C4" s="41"/>
      <c r="D4" s="41"/>
      <c r="E4" s="3"/>
      <c r="F4" s="142"/>
      <c r="G4" s="142"/>
      <c r="H4" s="142"/>
      <c r="I4" s="142"/>
      <c r="J4" s="142"/>
      <c r="K4" s="142"/>
    </row>
    <row r="5" spans="1:17" s="35" customFormat="1" ht="16" thickBot="1" x14ac:dyDescent="0.25">
      <c r="B5" s="157" t="str">
        <f>'2a Finance history'!B5</f>
        <v>1. Tax efficient planned giving</v>
      </c>
      <c r="C5" s="157"/>
      <c r="D5" s="157"/>
      <c r="E5" s="3"/>
      <c r="F5" s="318">
        <f>ROUND('2a Finance history'!G5,-1)</f>
        <v>0</v>
      </c>
      <c r="G5" s="132">
        <f>ROUND('2a Finance history'!K5,-1)</f>
        <v>0</v>
      </c>
      <c r="H5" s="133">
        <f>ROUND('2a Finance history'!O5,-1)</f>
        <v>0</v>
      </c>
      <c r="I5" s="134">
        <f>ROUND('2a Finance history'!S5,-1)</f>
        <v>0</v>
      </c>
      <c r="J5" s="135"/>
      <c r="K5" s="136"/>
      <c r="M5" s="58" t="s">
        <v>110</v>
      </c>
    </row>
    <row r="6" spans="1:17" s="35" customFormat="1" ht="16" thickBot="1" x14ac:dyDescent="0.25">
      <c r="B6" s="157" t="str">
        <f>'2a Finance history'!B6</f>
        <v>2. Other planned giving</v>
      </c>
      <c r="C6" s="157"/>
      <c r="D6" s="157"/>
      <c r="E6" s="3"/>
      <c r="F6" s="318">
        <f>ROUND('2a Finance history'!G6,-1)</f>
        <v>0</v>
      </c>
      <c r="G6" s="132">
        <f>ROUND('2a Finance history'!K6,-1)</f>
        <v>0</v>
      </c>
      <c r="H6" s="133">
        <f>ROUND('2a Finance history'!O6,-1)</f>
        <v>0</v>
      </c>
      <c r="I6" s="134">
        <f>ROUND('2a Finance history'!S6,-1)</f>
        <v>0</v>
      </c>
      <c r="J6" s="135"/>
      <c r="K6" s="136"/>
      <c r="M6" s="58" t="s">
        <v>110</v>
      </c>
    </row>
    <row r="7" spans="1:17" s="35" customFormat="1" ht="16" thickBot="1" x14ac:dyDescent="0.25">
      <c r="B7" s="157" t="str">
        <f>'2a Finance history'!B7</f>
        <v>3. Collections at services</v>
      </c>
      <c r="C7" s="157"/>
      <c r="D7" s="157"/>
      <c r="E7" s="3"/>
      <c r="F7" s="318">
        <f>ROUND('2a Finance history'!G7,-1)</f>
        <v>0</v>
      </c>
      <c r="G7" s="132">
        <f>ROUND('2a Finance history'!K7,-1)</f>
        <v>0</v>
      </c>
      <c r="H7" s="133">
        <f>ROUND('2a Finance history'!O7,-1)</f>
        <v>0</v>
      </c>
      <c r="I7" s="134">
        <f>ROUND('2a Finance history'!S7,-1)</f>
        <v>0</v>
      </c>
      <c r="J7" s="135"/>
      <c r="K7" s="136"/>
      <c r="M7" s="58" t="s">
        <v>111</v>
      </c>
    </row>
    <row r="8" spans="1:17" s="35" customFormat="1" ht="16" thickBot="1" x14ac:dyDescent="0.25">
      <c r="B8" s="157" t="str">
        <f>'2a Finance history'!B8</f>
        <v>4. All other unrestricted giving</v>
      </c>
      <c r="C8" s="157"/>
      <c r="D8" s="157"/>
      <c r="E8" s="3"/>
      <c r="F8" s="318">
        <f>ROUND('2a Finance history'!G8,-1)</f>
        <v>0</v>
      </c>
      <c r="G8" s="132">
        <f>ROUND('2a Finance history'!K8,-1)</f>
        <v>0</v>
      </c>
      <c r="H8" s="133">
        <f>ROUND('2a Finance history'!O8,-1)</f>
        <v>0</v>
      </c>
      <c r="I8" s="134">
        <f>ROUND('2a Finance history'!S8,-1)</f>
        <v>0</v>
      </c>
      <c r="J8" s="135"/>
      <c r="K8" s="136"/>
      <c r="M8" s="58" t="s">
        <v>111</v>
      </c>
    </row>
    <row r="9" spans="1:17" s="35" customFormat="1" ht="16" thickBot="1" x14ac:dyDescent="0.25">
      <c r="B9" s="157" t="str">
        <f>'2a Finance history'!B9</f>
        <v>6. Gift Aid recovered</v>
      </c>
      <c r="C9" s="157"/>
      <c r="D9" s="157"/>
      <c r="E9" s="3"/>
      <c r="F9" s="318">
        <f>ROUND('2a Finance history'!G9,-1)</f>
        <v>0</v>
      </c>
      <c r="G9" s="132">
        <f>ROUND('2a Finance history'!K9,-1)</f>
        <v>0</v>
      </c>
      <c r="H9" s="133">
        <f>ROUND('2a Finance history'!O9,-1)</f>
        <v>0</v>
      </c>
      <c r="I9" s="134">
        <f>ROUND('2a Finance history'!S9,-1)</f>
        <v>0</v>
      </c>
      <c r="J9" s="135"/>
      <c r="K9" s="136"/>
      <c r="M9" s="58" t="s">
        <v>110</v>
      </c>
    </row>
    <row r="10" spans="1:17" s="35" customFormat="1" ht="16" thickBot="1" x14ac:dyDescent="0.25">
      <c r="B10" s="157" t="str">
        <f>'2a Finance history'!B10</f>
        <v>6a. GASDS received</v>
      </c>
      <c r="C10" s="157"/>
      <c r="D10" s="157"/>
      <c r="E10" s="3"/>
      <c r="F10" s="318">
        <f>ROUND('2a Finance history'!G10,-1)</f>
        <v>0</v>
      </c>
      <c r="G10" s="132">
        <f>ROUND('2a Finance history'!K10,-1)</f>
        <v>0</v>
      </c>
      <c r="H10" s="133">
        <f>ROUND('2a Finance history'!O10,-1)</f>
        <v>0</v>
      </c>
      <c r="I10" s="134">
        <f>ROUND('2a Finance history'!S10,-1)</f>
        <v>0</v>
      </c>
      <c r="J10" s="135"/>
      <c r="K10" s="136"/>
      <c r="M10" s="58" t="s">
        <v>110</v>
      </c>
    </row>
    <row r="11" spans="1:17" s="35" customFormat="1" ht="16" thickBot="1" x14ac:dyDescent="0.25">
      <c r="B11" s="157" t="str">
        <f>'2a Finance history'!B11</f>
        <v>7. Legacies received</v>
      </c>
      <c r="C11" s="157"/>
      <c r="D11" s="157"/>
      <c r="E11" s="3"/>
      <c r="F11" s="318">
        <f>ROUND('2a Finance history'!G11,-1)</f>
        <v>0</v>
      </c>
      <c r="G11" s="132">
        <f>ROUND('2a Finance history'!K11,-1)</f>
        <v>0</v>
      </c>
      <c r="H11" s="133">
        <f>ROUND('2a Finance history'!O11,-1)</f>
        <v>0</v>
      </c>
      <c r="I11" s="134">
        <f>ROUND('2a Finance history'!S11,-1)</f>
        <v>0</v>
      </c>
      <c r="J11" s="135"/>
      <c r="K11" s="136"/>
      <c r="M11" s="58" t="s">
        <v>111</v>
      </c>
    </row>
    <row r="12" spans="1:17" s="35" customFormat="1" ht="16" thickBot="1" x14ac:dyDescent="0.25">
      <c r="B12" s="157" t="str">
        <f>'2a Finance history'!B12</f>
        <v>8. Grants</v>
      </c>
      <c r="C12" s="157"/>
      <c r="D12" s="157"/>
      <c r="E12" s="3"/>
      <c r="F12" s="318">
        <f>ROUND('2a Finance history'!G12,-1)</f>
        <v>0</v>
      </c>
      <c r="G12" s="132">
        <f>ROUND('2a Finance history'!K12,-1)</f>
        <v>0</v>
      </c>
      <c r="H12" s="133">
        <f>ROUND('2a Finance history'!O12,-1)</f>
        <v>0</v>
      </c>
      <c r="I12" s="134">
        <f>ROUND('2a Finance history'!S12,-1)</f>
        <v>0</v>
      </c>
      <c r="J12" s="135"/>
      <c r="K12" s="136"/>
      <c r="M12" s="58" t="s">
        <v>111</v>
      </c>
    </row>
    <row r="13" spans="1:17" s="35" customFormat="1" ht="16" thickBot="1" x14ac:dyDescent="0.25">
      <c r="B13" s="157" t="str">
        <f>'2a Finance history'!B13</f>
        <v>9. Income from fundraising activities</v>
      </c>
      <c r="C13" s="157"/>
      <c r="D13" s="157"/>
      <c r="E13" s="3"/>
      <c r="F13" s="318">
        <f>ROUND('2a Finance history'!G13,-1)</f>
        <v>0</v>
      </c>
      <c r="G13" s="132">
        <f>ROUND('2a Finance history'!K13,-1)</f>
        <v>0</v>
      </c>
      <c r="H13" s="133">
        <f>ROUND('2a Finance history'!O13,-1)</f>
        <v>0</v>
      </c>
      <c r="I13" s="134">
        <f>ROUND('2a Finance history'!S13,-1)</f>
        <v>0</v>
      </c>
      <c r="J13" s="135"/>
      <c r="K13" s="136"/>
      <c r="M13" s="58" t="s">
        <v>111</v>
      </c>
    </row>
    <row r="14" spans="1:17" s="35" customFormat="1" ht="16" thickBot="1" x14ac:dyDescent="0.25">
      <c r="B14" s="157" t="str">
        <f>'2a Finance history'!B14</f>
        <v xml:space="preserve">10. Dividends, interest, income from property etc. </v>
      </c>
      <c r="C14" s="157"/>
      <c r="D14" s="157"/>
      <c r="E14" s="3"/>
      <c r="F14" s="318">
        <f>ROUND('2a Finance history'!G14,-1)</f>
        <v>0</v>
      </c>
      <c r="G14" s="132">
        <f>ROUND('2a Finance history'!K14,-1)</f>
        <v>0</v>
      </c>
      <c r="H14" s="133">
        <f>ROUND('2a Finance history'!O14,-1)</f>
        <v>0</v>
      </c>
      <c r="I14" s="134">
        <f>ROUND('2a Finance history'!S14,-1)</f>
        <v>0</v>
      </c>
      <c r="J14" s="135"/>
      <c r="K14" s="136"/>
      <c r="M14" s="58" t="s">
        <v>112</v>
      </c>
    </row>
    <row r="15" spans="1:17" s="35" customFormat="1" ht="16" thickBot="1" x14ac:dyDescent="0.25">
      <c r="B15" s="157" t="str">
        <f>'2a Finance history'!B15</f>
        <v>11. Statutory fees retained by the PCC</v>
      </c>
      <c r="C15" s="157"/>
      <c r="D15" s="157"/>
      <c r="E15" s="3"/>
      <c r="F15" s="318">
        <f>ROUND('2a Finance history'!G15,-1)</f>
        <v>0</v>
      </c>
      <c r="G15" s="132">
        <f>ROUND('2a Finance history'!K15,-1)</f>
        <v>0</v>
      </c>
      <c r="H15" s="133">
        <f>ROUND('2a Finance history'!O15,-1)</f>
        <v>0</v>
      </c>
      <c r="I15" s="134">
        <f>ROUND('2a Finance history'!S15,-1)</f>
        <v>0</v>
      </c>
      <c r="J15" s="135"/>
      <c r="K15" s="136"/>
      <c r="M15" s="58" t="s">
        <v>112</v>
      </c>
    </row>
    <row r="16" spans="1:17" s="43" customFormat="1" ht="16" thickBot="1" x14ac:dyDescent="0.25">
      <c r="B16" s="157" t="str">
        <f>'2a Finance history'!B16</f>
        <v>12. Trading activities (gross proceeds)</v>
      </c>
      <c r="C16" s="157"/>
      <c r="D16" s="157"/>
      <c r="E16" s="3"/>
      <c r="F16" s="318">
        <f>ROUND('2a Finance history'!G16,-1)</f>
        <v>0</v>
      </c>
      <c r="G16" s="132">
        <f>ROUND('2a Finance history'!K16,-1)</f>
        <v>0</v>
      </c>
      <c r="H16" s="133">
        <f>ROUND('2a Finance history'!O16,-1)</f>
        <v>0</v>
      </c>
      <c r="I16" s="134">
        <f>ROUND('2a Finance history'!S16,-1)</f>
        <v>0</v>
      </c>
      <c r="J16" s="143"/>
      <c r="K16" s="144"/>
      <c r="M16" s="58" t="s">
        <v>112</v>
      </c>
    </row>
    <row r="17" spans="2:13" s="43" customFormat="1" ht="16" thickBot="1" x14ac:dyDescent="0.25">
      <c r="B17" s="157" t="str">
        <f>'2a Finance history'!B17</f>
        <v>13. Any other income / receipts</v>
      </c>
      <c r="C17" s="157"/>
      <c r="D17" s="157"/>
      <c r="E17" s="3"/>
      <c r="F17" s="318">
        <f>ROUND('2a Finance history'!G17,-1)</f>
        <v>0</v>
      </c>
      <c r="G17" s="132">
        <f>ROUND('2a Finance history'!K17,-1)</f>
        <v>0</v>
      </c>
      <c r="H17" s="133">
        <f>ROUND('2a Finance history'!O17,-1)</f>
        <v>0</v>
      </c>
      <c r="I17" s="134">
        <f>ROUND('2a Finance history'!S17,-1)</f>
        <v>0</v>
      </c>
      <c r="J17" s="143"/>
      <c r="K17" s="144"/>
      <c r="M17" s="58" t="s">
        <v>113</v>
      </c>
    </row>
    <row r="18" spans="2:13" s="35" customFormat="1" ht="17" thickBot="1" x14ac:dyDescent="0.25">
      <c r="C18" s="40"/>
      <c r="D18" s="159" t="s">
        <v>58</v>
      </c>
      <c r="E18" s="3"/>
      <c r="F18" s="320">
        <f>SUM(F5:F17)</f>
        <v>0</v>
      </c>
      <c r="G18" s="145">
        <f>SUM(G5:G17)</f>
        <v>0</v>
      </c>
      <c r="H18" s="146">
        <f t="shared" ref="H18:K18" si="0">SUM(H5:H17)</f>
        <v>0</v>
      </c>
      <c r="I18" s="147">
        <f t="shared" si="0"/>
        <v>0</v>
      </c>
      <c r="J18" s="148">
        <f t="shared" si="0"/>
        <v>0</v>
      </c>
      <c r="K18" s="149">
        <f t="shared" si="0"/>
        <v>0</v>
      </c>
      <c r="M18" s="38"/>
    </row>
    <row r="19" spans="2:13" s="35" customFormat="1" ht="17" thickTop="1" x14ac:dyDescent="0.2">
      <c r="D19" s="160"/>
      <c r="E19" s="3"/>
      <c r="F19" s="150"/>
      <c r="G19" s="150"/>
      <c r="H19" s="150"/>
      <c r="I19" s="150"/>
      <c r="J19" s="150"/>
      <c r="K19" s="150"/>
      <c r="M19" s="38"/>
    </row>
    <row r="20" spans="2:13" s="35" customFormat="1" ht="21" thickBot="1" x14ac:dyDescent="0.3">
      <c r="B20" s="130" t="s">
        <v>59</v>
      </c>
      <c r="C20" s="12"/>
      <c r="D20" s="12"/>
      <c r="E20" s="3"/>
      <c r="F20" s="39"/>
      <c r="G20" s="39"/>
      <c r="H20" s="39"/>
      <c r="I20" s="39"/>
      <c r="J20" s="39"/>
      <c r="K20" s="39"/>
    </row>
    <row r="21" spans="2:13" s="35" customFormat="1" ht="16" thickBot="1" x14ac:dyDescent="0.25">
      <c r="B21" s="156" t="str">
        <f>'2a Finance history'!B22</f>
        <v>17. Fund-raising activites</v>
      </c>
      <c r="C21" s="156"/>
      <c r="D21" s="156"/>
      <c r="E21" s="3"/>
      <c r="F21" s="318">
        <f>ROUND('2a Finance history'!G22,-1)</f>
        <v>0</v>
      </c>
      <c r="G21" s="132">
        <f>ROUND('2a Finance history'!K22,-1)</f>
        <v>0</v>
      </c>
      <c r="H21" s="133">
        <f>ROUND('2a Finance history'!O22,-1)</f>
        <v>0</v>
      </c>
      <c r="I21" s="134">
        <f>ROUND('2a Finance history'!S22,-1)</f>
        <v>0</v>
      </c>
      <c r="J21" s="135"/>
      <c r="K21" s="136"/>
      <c r="M21" s="58" t="s">
        <v>114</v>
      </c>
    </row>
    <row r="22" spans="2:13" s="35" customFormat="1" ht="16" thickBot="1" x14ac:dyDescent="0.25">
      <c r="B22" s="156" t="str">
        <f>'2a Finance history'!B23</f>
        <v>18. Mission giving and donations</v>
      </c>
      <c r="C22" s="156"/>
      <c r="D22" s="156"/>
      <c r="E22" s="3"/>
      <c r="F22" s="318">
        <f>ROUND('2a Finance history'!G23,-1)</f>
        <v>0</v>
      </c>
      <c r="G22" s="132">
        <f>ROUND('2a Finance history'!K23,-1)</f>
        <v>0</v>
      </c>
      <c r="H22" s="133">
        <f>ROUND('2a Finance history'!O23,-1)</f>
        <v>0</v>
      </c>
      <c r="I22" s="134">
        <f>ROUND('2a Finance history'!S23,-1)</f>
        <v>0</v>
      </c>
      <c r="J22" s="135"/>
      <c r="K22" s="136"/>
      <c r="M22" s="58" t="s">
        <v>114</v>
      </c>
    </row>
    <row r="23" spans="2:13" s="35" customFormat="1" ht="16" thickBot="1" x14ac:dyDescent="0.25">
      <c r="B23" s="156" t="str">
        <f>'2a Finance history'!B24</f>
        <v>19. Deanery Share / Parish Share contribution</v>
      </c>
      <c r="C23" s="156"/>
      <c r="D23" s="156"/>
      <c r="E23" s="3"/>
      <c r="F23" s="318">
        <f>ROUND('2a Finance history'!G24,-1)</f>
        <v>0</v>
      </c>
      <c r="G23" s="132">
        <f>ROUND('2a Finance history'!K24,-1)</f>
        <v>0</v>
      </c>
      <c r="H23" s="133">
        <f>ROUND('2a Finance history'!O24,-1)</f>
        <v>0</v>
      </c>
      <c r="I23" s="134">
        <f>ROUND('2a Finance history'!S24,-1)</f>
        <v>0</v>
      </c>
      <c r="J23" s="135"/>
      <c r="K23" s="136"/>
      <c r="M23" s="58" t="s">
        <v>115</v>
      </c>
    </row>
    <row r="24" spans="2:13" s="35" customFormat="1" ht="16" thickBot="1" x14ac:dyDescent="0.25">
      <c r="B24" s="156" t="str">
        <f>'2a Finance history'!B25</f>
        <v>20. Salaries, wages and honararia</v>
      </c>
      <c r="C24" s="156"/>
      <c r="D24" s="156"/>
      <c r="E24" s="3"/>
      <c r="F24" s="318">
        <f>ROUND('2a Finance history'!G25,-1)</f>
        <v>0</v>
      </c>
      <c r="G24" s="132">
        <f>ROUND('2a Finance history'!K25,-1)</f>
        <v>0</v>
      </c>
      <c r="H24" s="133">
        <f>ROUND('2a Finance history'!O25,-1)</f>
        <v>0</v>
      </c>
      <c r="I24" s="134">
        <f>ROUND('2a Finance history'!S25,-1)</f>
        <v>0</v>
      </c>
      <c r="J24" s="135"/>
      <c r="K24" s="136"/>
      <c r="M24" s="58" t="s">
        <v>114</v>
      </c>
    </row>
    <row r="25" spans="2:13" s="43" customFormat="1" ht="16" thickBot="1" x14ac:dyDescent="0.25">
      <c r="B25" s="156" t="str">
        <f>'2a Finance history'!B26</f>
        <v>21. Clergy and staff expenses</v>
      </c>
      <c r="C25" s="156"/>
      <c r="D25" s="156"/>
      <c r="E25" s="3"/>
      <c r="F25" s="318">
        <f>ROUND('2a Finance history'!G26,-1)</f>
        <v>0</v>
      </c>
      <c r="G25" s="132">
        <f>ROUND('2a Finance history'!K26,-1)</f>
        <v>0</v>
      </c>
      <c r="H25" s="133">
        <f>ROUND('2a Finance history'!O26,-1)</f>
        <v>0</v>
      </c>
      <c r="I25" s="134">
        <f>ROUND('2a Finance history'!S26,-1)</f>
        <v>0</v>
      </c>
      <c r="J25" s="135"/>
      <c r="K25" s="136"/>
      <c r="M25" s="58" t="s">
        <v>115</v>
      </c>
    </row>
    <row r="26" spans="2:13" s="43" customFormat="1" ht="16" thickBot="1" x14ac:dyDescent="0.25">
      <c r="B26" s="156" t="str">
        <f>'2a Finance history'!B27</f>
        <v>22. Mission and evangelism costs</v>
      </c>
      <c r="C26" s="156"/>
      <c r="D26" s="156"/>
      <c r="E26" s="3"/>
      <c r="F26" s="318">
        <f>ROUND('2a Finance history'!G27,-1)</f>
        <v>0</v>
      </c>
      <c r="G26" s="132">
        <f>ROUND('2a Finance history'!K27,-1)</f>
        <v>0</v>
      </c>
      <c r="H26" s="133">
        <f>ROUND('2a Finance history'!O27,-1)</f>
        <v>0</v>
      </c>
      <c r="I26" s="134">
        <f>ROUND('2a Finance history'!S27,-1)</f>
        <v>0</v>
      </c>
      <c r="J26" s="135"/>
      <c r="K26" s="136"/>
      <c r="M26" s="58" t="s">
        <v>114</v>
      </c>
    </row>
    <row r="27" spans="2:13" s="43" customFormat="1" ht="16" thickBot="1" x14ac:dyDescent="0.25">
      <c r="B27" s="156" t="str">
        <f>'2a Finance history'!B28</f>
        <v>23a. Church running expenses (inc. Governance)</v>
      </c>
      <c r="C27" s="156"/>
      <c r="D27" s="156"/>
      <c r="E27" s="3"/>
      <c r="F27" s="318">
        <f>ROUND('2a Finance history'!G28,-1)</f>
        <v>0</v>
      </c>
      <c r="G27" s="132">
        <f>ROUND('2a Finance history'!K28,-1)</f>
        <v>0</v>
      </c>
      <c r="H27" s="133">
        <f>ROUND('2a Finance history'!O28,-1)</f>
        <v>0</v>
      </c>
      <c r="I27" s="134">
        <f>ROUND('2a Finance history'!S28,-1)</f>
        <v>0</v>
      </c>
      <c r="J27" s="135"/>
      <c r="K27" s="136"/>
      <c r="M27" s="58" t="s">
        <v>116</v>
      </c>
    </row>
    <row r="28" spans="2:13" s="43" customFormat="1" ht="16" thickBot="1" x14ac:dyDescent="0.25">
      <c r="B28" s="156" t="str">
        <f>'2a Finance history'!B29</f>
        <v>23b. Church building maintenance costs</v>
      </c>
      <c r="C28" s="156"/>
      <c r="D28" s="156"/>
      <c r="E28" s="3"/>
      <c r="F28" s="318">
        <f>ROUND('2a Finance history'!G29,-1)</f>
        <v>0</v>
      </c>
      <c r="G28" s="132">
        <f>ROUND('2a Finance history'!K29,-1)</f>
        <v>0</v>
      </c>
      <c r="H28" s="133">
        <f>ROUND('2a Finance history'!O29,-1)</f>
        <v>0</v>
      </c>
      <c r="I28" s="134">
        <f>ROUND('2a Finance history'!S29,-1)</f>
        <v>0</v>
      </c>
      <c r="J28" s="135"/>
      <c r="K28" s="136"/>
      <c r="M28" s="58" t="s">
        <v>116</v>
      </c>
    </row>
    <row r="29" spans="2:13" s="43" customFormat="1" ht="16" thickBot="1" x14ac:dyDescent="0.25">
      <c r="B29" s="156" t="str">
        <f>'2a Finance history'!B30</f>
        <v>23c. Church building insurance (inc. contents)</v>
      </c>
      <c r="C29" s="156"/>
      <c r="D29" s="156"/>
      <c r="E29" s="3"/>
      <c r="F29" s="318">
        <f>ROUND('2a Finance history'!G30,-1)</f>
        <v>0</v>
      </c>
      <c r="G29" s="132">
        <f>ROUND('2a Finance history'!K30,-1)</f>
        <v>0</v>
      </c>
      <c r="H29" s="133">
        <f>ROUND('2a Finance history'!O30,-1)</f>
        <v>0</v>
      </c>
      <c r="I29" s="134">
        <f>ROUND('2a Finance history'!S30,-1)</f>
        <v>0</v>
      </c>
      <c r="J29" s="135"/>
      <c r="K29" s="136"/>
      <c r="M29" s="58" t="s">
        <v>116</v>
      </c>
    </row>
    <row r="30" spans="2:13" s="43" customFormat="1" ht="16" thickBot="1" x14ac:dyDescent="0.25">
      <c r="B30" s="156" t="str">
        <f>'2a Finance history'!B31</f>
        <v>24. Church utility bills</v>
      </c>
      <c r="C30" s="156"/>
      <c r="D30" s="156"/>
      <c r="E30" s="3"/>
      <c r="F30" s="318">
        <f>ROUND('2a Finance history'!G31,-1)</f>
        <v>0</v>
      </c>
      <c r="G30" s="132">
        <f>ROUND('2a Finance history'!K31,-1)</f>
        <v>0</v>
      </c>
      <c r="H30" s="133">
        <f>ROUND('2a Finance history'!O31,-1)</f>
        <v>0</v>
      </c>
      <c r="I30" s="134">
        <f>ROUND('2a Finance history'!S31,-1)</f>
        <v>0</v>
      </c>
      <c r="J30" s="135"/>
      <c r="K30" s="136"/>
      <c r="M30" s="58" t="s">
        <v>116</v>
      </c>
    </row>
    <row r="31" spans="2:13" s="43" customFormat="1" ht="16" thickBot="1" x14ac:dyDescent="0.25">
      <c r="B31" s="156" t="str">
        <f>'2a Finance history'!B32</f>
        <v>25. Cost of trading</v>
      </c>
      <c r="C31" s="156"/>
      <c r="D31" s="156"/>
      <c r="E31" s="3"/>
      <c r="F31" s="318">
        <f>ROUND('2a Finance history'!G32,-1)</f>
        <v>0</v>
      </c>
      <c r="G31" s="132">
        <f>ROUND('2a Finance history'!K32,-1)</f>
        <v>0</v>
      </c>
      <c r="H31" s="133">
        <f>ROUND('2a Finance history'!O32,-1)</f>
        <v>0</v>
      </c>
      <c r="I31" s="134">
        <f>ROUND('2a Finance history'!S32,-1)</f>
        <v>0</v>
      </c>
      <c r="J31" s="135"/>
      <c r="K31" s="136"/>
      <c r="M31" s="58" t="s">
        <v>114</v>
      </c>
    </row>
    <row r="32" spans="2:13" s="43" customFormat="1" ht="16" thickBot="1" x14ac:dyDescent="0.25">
      <c r="B32" s="156" t="str">
        <f>'2a Finance history'!B33</f>
        <v>27. Major repairs to the church building</v>
      </c>
      <c r="C32" s="156"/>
      <c r="D32" s="156"/>
      <c r="E32" s="3"/>
      <c r="F32" s="318">
        <f>ROUND('2a Finance history'!G33,-1)</f>
        <v>0</v>
      </c>
      <c r="G32" s="132">
        <f>ROUND('2a Finance history'!K33,-1)</f>
        <v>0</v>
      </c>
      <c r="H32" s="133">
        <f>ROUND('2a Finance history'!O33,-1)</f>
        <v>0</v>
      </c>
      <c r="I32" s="134">
        <f>ROUND('2a Finance history'!S33,-1)</f>
        <v>0</v>
      </c>
      <c r="J32" s="135"/>
      <c r="K32" s="136"/>
      <c r="M32" s="58" t="s">
        <v>117</v>
      </c>
    </row>
    <row r="33" spans="2:13" s="43" customFormat="1" ht="16" thickBot="1" x14ac:dyDescent="0.25">
      <c r="B33" s="156" t="str">
        <f>'2a Finance history'!B34</f>
        <v>28. Major repairs to PCC property</v>
      </c>
      <c r="C33" s="156"/>
      <c r="D33" s="156"/>
      <c r="E33" s="3"/>
      <c r="F33" s="318">
        <f>ROUND('2a Finance history'!G34,-1)</f>
        <v>0</v>
      </c>
      <c r="G33" s="132">
        <f>ROUND('2a Finance history'!K34,-1)</f>
        <v>0</v>
      </c>
      <c r="H33" s="133">
        <f>ROUND('2a Finance history'!O34,-1)</f>
        <v>0</v>
      </c>
      <c r="I33" s="134">
        <f>ROUND('2a Finance history'!S34,-1)</f>
        <v>0</v>
      </c>
      <c r="J33" s="135"/>
      <c r="K33" s="136"/>
      <c r="M33" s="58" t="s">
        <v>117</v>
      </c>
    </row>
    <row r="34" spans="2:13" s="43" customFormat="1" ht="16" thickBot="1" x14ac:dyDescent="0.25">
      <c r="B34" s="156" t="str">
        <f>'2a Finance history'!B35</f>
        <v>29. New building work</v>
      </c>
      <c r="C34" s="156"/>
      <c r="D34" s="156"/>
      <c r="E34" s="3"/>
      <c r="F34" s="318">
        <f>ROUND('2a Finance history'!G35,-1)</f>
        <v>0</v>
      </c>
      <c r="G34" s="132">
        <f>ROUND('2a Finance history'!K35,-1)</f>
        <v>0</v>
      </c>
      <c r="H34" s="133">
        <f>ROUND('2a Finance history'!O35,-1)</f>
        <v>0</v>
      </c>
      <c r="I34" s="134">
        <f>ROUND('2a Finance history'!S35,-1)</f>
        <v>0</v>
      </c>
      <c r="J34" s="135"/>
      <c r="K34" s="136"/>
      <c r="M34" s="58" t="s">
        <v>117</v>
      </c>
    </row>
    <row r="35" spans="2:13" s="43" customFormat="1" x14ac:dyDescent="0.2">
      <c r="B35" s="290" t="s">
        <v>118</v>
      </c>
      <c r="C35" s="360" t="s">
        <v>119</v>
      </c>
      <c r="D35" s="360"/>
      <c r="E35" s="3"/>
      <c r="F35" s="367">
        <f>ROUND('2a Finance history'!G36,-1)</f>
        <v>0</v>
      </c>
      <c r="G35" s="365">
        <f>ROUND('2a Finance history'!K36,-1)</f>
        <v>0</v>
      </c>
      <c r="H35" s="363">
        <f>ROUND('2a Finance history'!O36,-1)</f>
        <v>0</v>
      </c>
      <c r="I35" s="361">
        <f>ROUND('2a Finance history'!S36,-1)</f>
        <v>0</v>
      </c>
      <c r="J35" s="135"/>
      <c r="K35" s="136"/>
      <c r="M35" s="58" t="s">
        <v>117</v>
      </c>
    </row>
    <row r="36" spans="2:13" s="43" customFormat="1" ht="16" thickBot="1" x14ac:dyDescent="0.25">
      <c r="B36" s="290" t="s">
        <v>118</v>
      </c>
      <c r="C36" s="360" t="s">
        <v>120</v>
      </c>
      <c r="D36" s="360"/>
      <c r="E36" s="3"/>
      <c r="F36" s="367"/>
      <c r="G36" s="365"/>
      <c r="H36" s="363"/>
      <c r="I36" s="361"/>
      <c r="J36" s="135"/>
      <c r="K36" s="136"/>
      <c r="M36" s="58" t="s">
        <v>117</v>
      </c>
    </row>
    <row r="37" spans="2:13" s="43" customFormat="1" ht="16" thickBot="1" x14ac:dyDescent="0.25">
      <c r="B37" s="290" t="s">
        <v>118</v>
      </c>
      <c r="C37" s="360" t="s">
        <v>121</v>
      </c>
      <c r="D37" s="360"/>
      <c r="E37" s="3"/>
      <c r="F37" s="368"/>
      <c r="G37" s="366"/>
      <c r="H37" s="364"/>
      <c r="I37" s="362"/>
      <c r="J37" s="135"/>
      <c r="K37" s="136"/>
      <c r="M37" s="58" t="s">
        <v>117</v>
      </c>
    </row>
    <row r="38" spans="2:13" s="40" customFormat="1" ht="17" thickBot="1" x14ac:dyDescent="0.25">
      <c r="D38" s="159" t="s">
        <v>79</v>
      </c>
      <c r="E38" s="3"/>
      <c r="F38" s="319">
        <f t="shared" ref="F38:K38" si="1">SUM(F21:F37)</f>
        <v>0</v>
      </c>
      <c r="G38" s="137">
        <f t="shared" si="1"/>
        <v>0</v>
      </c>
      <c r="H38" s="138">
        <f t="shared" si="1"/>
        <v>0</v>
      </c>
      <c r="I38" s="139">
        <f t="shared" si="1"/>
        <v>0</v>
      </c>
      <c r="J38" s="140">
        <f t="shared" si="1"/>
        <v>0</v>
      </c>
      <c r="K38" s="141">
        <f t="shared" si="1"/>
        <v>0</v>
      </c>
      <c r="M38" s="38"/>
    </row>
    <row r="39" spans="2:13" s="40" customFormat="1" ht="17" thickTop="1" x14ac:dyDescent="0.2">
      <c r="D39" s="159"/>
      <c r="E39" s="3"/>
      <c r="F39" s="178"/>
      <c r="G39" s="178"/>
      <c r="H39" s="178"/>
      <c r="I39" s="178"/>
      <c r="J39" s="178"/>
      <c r="K39" s="178"/>
    </row>
    <row r="40" spans="2:13" s="35" customFormat="1" ht="17" thickBot="1" x14ac:dyDescent="0.25">
      <c r="C40" s="42"/>
      <c r="D40" s="161" t="s">
        <v>80</v>
      </c>
      <c r="E40" s="3"/>
      <c r="F40" s="317">
        <f t="shared" ref="F40:K40" si="2">F18-F38</f>
        <v>0</v>
      </c>
      <c r="G40" s="164">
        <f t="shared" si="2"/>
        <v>0</v>
      </c>
      <c r="H40" s="165">
        <f t="shared" si="2"/>
        <v>0</v>
      </c>
      <c r="I40" s="166">
        <f t="shared" si="2"/>
        <v>0</v>
      </c>
      <c r="J40" s="167">
        <f t="shared" si="2"/>
        <v>0</v>
      </c>
      <c r="K40" s="163">
        <f t="shared" si="2"/>
        <v>0</v>
      </c>
      <c r="M40" s="38"/>
    </row>
    <row r="41" spans="2:13" s="35" customFormat="1" ht="22" thickTop="1" thickBot="1" x14ac:dyDescent="0.3">
      <c r="B41" s="131" t="s">
        <v>122</v>
      </c>
      <c r="E41" s="3"/>
    </row>
    <row r="42" spans="2:13" s="35" customFormat="1" ht="29" customHeight="1" thickBot="1" x14ac:dyDescent="0.25">
      <c r="B42" s="359" t="s">
        <v>123</v>
      </c>
      <c r="C42" s="359"/>
      <c r="D42" s="356" t="s">
        <v>124</v>
      </c>
      <c r="E42" s="3"/>
      <c r="K42" s="136"/>
      <c r="M42" s="38"/>
    </row>
    <row r="43" spans="2:13" s="35" customFormat="1" ht="29" customHeight="1" thickBot="1" x14ac:dyDescent="0.25">
      <c r="B43" s="358" t="s">
        <v>125</v>
      </c>
      <c r="C43" s="358"/>
      <c r="D43" s="357"/>
      <c r="E43" s="3"/>
      <c r="K43" s="136"/>
      <c r="M43" s="38"/>
    </row>
    <row r="44" spans="2:13" s="35" customFormat="1" x14ac:dyDescent="0.2">
      <c r="B44" s="158"/>
      <c r="C44" s="158"/>
      <c r="D44" s="158"/>
      <c r="E44" s="3"/>
      <c r="M44" s="38"/>
    </row>
    <row r="45" spans="2:13" s="160" customFormat="1" ht="17" thickBot="1" x14ac:dyDescent="0.25">
      <c r="E45" s="106"/>
      <c r="J45" s="161" t="s">
        <v>126</v>
      </c>
      <c r="K45" s="162">
        <f>SUM(K40:K43)</f>
        <v>0</v>
      </c>
      <c r="M45" s="38"/>
    </row>
    <row r="46" spans="2:13" s="35" customFormat="1" ht="16" thickTop="1" x14ac:dyDescent="0.2">
      <c r="E46" s="3"/>
      <c r="M46" s="38"/>
    </row>
    <row r="47" spans="2:13" s="35" customFormat="1" ht="19" x14ac:dyDescent="0.25">
      <c r="E47" s="3"/>
      <c r="F47" s="355" t="str">
        <f>IF($K$45&lt;0,"Our weekly target for additional giving is","No increase in planned giving required")</f>
        <v>No increase in planned giving required</v>
      </c>
      <c r="G47" s="355"/>
      <c r="H47" s="355"/>
      <c r="I47" s="355"/>
      <c r="J47" s="355"/>
      <c r="K47" s="173" t="str">
        <f>IF($K$45&lt;0,ROUNDUP(-$K$45/52,0),"")</f>
        <v/>
      </c>
      <c r="M47" s="38"/>
    </row>
    <row r="48" spans="2:13" s="35" customFormat="1" x14ac:dyDescent="0.2">
      <c r="E48" s="3"/>
      <c r="K48" s="204" t="str">
        <f>IF(K40&gt;0,"Your church budget is in surplus and you do not require additional giving to achieve it","")</f>
        <v/>
      </c>
      <c r="M48" s="38"/>
    </row>
    <row r="57" spans="5:5" x14ac:dyDescent="0.2">
      <c r="E57" s="4"/>
    </row>
  </sheetData>
  <sheetProtection sheet="1" selectLockedCells="1"/>
  <customSheetViews>
    <customSheetView guid="{359010A1-0405-4C05-8A51-03FA4E24F244}" showGridLines="0" hiddenColumns="1" topLeftCell="A12">
      <selection activeCell="O28" sqref="O28"/>
    </customSheetView>
    <customSheetView guid="{6E4277CF-1161-4602-99B2-7466BE4F7FEC}" showGridLines="0" hiddenColumns="1" topLeftCell="A12">
      <selection activeCell="O28" sqref="O28"/>
    </customSheetView>
  </customSheetViews>
  <mergeCells count="13">
    <mergeCell ref="B1:D1"/>
    <mergeCell ref="B2:D2"/>
    <mergeCell ref="F47:J47"/>
    <mergeCell ref="D42:D43"/>
    <mergeCell ref="B43:C43"/>
    <mergeCell ref="B42:C42"/>
    <mergeCell ref="C35:D35"/>
    <mergeCell ref="C36:D36"/>
    <mergeCell ref="C37:D37"/>
    <mergeCell ref="I35:I37"/>
    <mergeCell ref="H35:H37"/>
    <mergeCell ref="G35:G37"/>
    <mergeCell ref="F35:F37"/>
  </mergeCells>
  <phoneticPr fontId="21" type="noConversion"/>
  <conditionalFormatting sqref="F47:K47">
    <cfRule type="expression" dxfId="41" priority="3">
      <formula>$K$45&lt;0</formula>
    </cfRule>
  </conditionalFormatting>
  <pageMargins left="0.51181102362204722" right="0.51181102362204722" top="0.55118110236220474" bottom="0.78740157480314965" header="0.35433070866141736" footer="0.51181102362204722"/>
  <pageSetup paperSize="9" scale="80" orientation="portrait" r:id="rId1"/>
  <headerFooter alignWithMargins="0">
    <oddFooter>&amp;L&amp;9&amp;K005695© Giving in Grace 2023&amp;C&amp;9 &amp;K7F3F98www.givingingrace.org&amp;R9</oddFooter>
  </headerFooter>
  <ignoredErrors>
    <ignoredError sqref="B35:B37" numberStoredAsText="1"/>
  </ignoredErrors>
  <drawing r:id="rId2"/>
  <extLst>
    <ext xmlns:x14="http://schemas.microsoft.com/office/spreadsheetml/2009/9/main" uri="{78C0D931-6437-407d-A8EE-F0AAD7539E65}">
      <x14:conditionalFormattings>
        <x14:conditionalFormatting xmlns:xm="http://schemas.microsoft.com/office/excel/2006/main">
          <x14:cfRule type="expression" priority="2" id="{BE46DA74-6965-4ED6-8E45-7411C013307C}">
            <xm:f>'1 Start here'!$C$12=""</xm:f>
            <x14:dxf>
              <font>
                <color theme="0"/>
              </font>
              <fill>
                <patternFill patternType="none">
                  <bgColor auto="1"/>
                </patternFill>
              </fill>
              <border>
                <left/>
                <right/>
                <top/>
                <bottom/>
                <vertical/>
                <horizontal/>
              </border>
            </x14:dxf>
          </x14:cfRule>
          <xm:sqref>H1:H35 H38:H46</xm:sqref>
        </x14:conditionalFormatting>
        <x14:conditionalFormatting xmlns:xm="http://schemas.microsoft.com/office/excel/2006/main">
          <x14:cfRule type="expression" priority="1" id="{0141F13A-D153-44AE-8CDA-B2F389DAE563}">
            <xm:f>'1 Start here'!$C$13=""</xm:f>
            <x14:dxf>
              <font>
                <color theme="0"/>
              </font>
              <fill>
                <patternFill patternType="none">
                  <bgColor auto="1"/>
                </patternFill>
              </fill>
              <border>
                <left/>
                <right/>
                <top/>
                <bottom/>
                <vertical/>
                <horizontal/>
              </border>
            </x14:dxf>
          </x14:cfRule>
          <xm:sqref>I1:I35 I38:I46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FA75-B970-4BE0-A58E-242538EE5AF5}">
  <sheetPr>
    <tabColor theme="7"/>
  </sheetPr>
  <dimension ref="A1:J31"/>
  <sheetViews>
    <sheetView showGridLines="0" workbookViewId="0">
      <selection activeCell="C6" sqref="C6"/>
    </sheetView>
  </sheetViews>
  <sheetFormatPr baseColWidth="10" defaultColWidth="8.6640625" defaultRowHeight="13" x14ac:dyDescent="0.15"/>
  <cols>
    <col min="1" max="1" width="3.6640625" style="2" customWidth="1"/>
    <col min="2" max="2" width="14.33203125" style="2" customWidth="1"/>
    <col min="3" max="3" width="7" style="2" customWidth="1"/>
    <col min="4" max="4" width="12" style="2" customWidth="1"/>
    <col min="5" max="5" width="16.6640625" style="2" customWidth="1"/>
    <col min="6" max="6" width="15.33203125" style="2" customWidth="1"/>
    <col min="7" max="7" width="11.83203125" style="2" hidden="1" customWidth="1"/>
    <col min="8" max="8" width="15" style="2" hidden="1" customWidth="1"/>
    <col min="9" max="9" width="8.1640625" style="2" hidden="1" customWidth="1"/>
    <col min="10" max="10" width="8.6640625" style="2" customWidth="1"/>
    <col min="11" max="14" width="8.83203125" style="2" customWidth="1"/>
    <col min="15" max="16384" width="8.6640625" style="2"/>
  </cols>
  <sheetData>
    <row r="1" spans="1:10" ht="23.5" customHeight="1" x14ac:dyDescent="0.15"/>
    <row r="2" spans="1:10" ht="24.5" customHeight="1" x14ac:dyDescent="0.3">
      <c r="A2" s="5"/>
      <c r="B2" s="340" t="s">
        <v>127</v>
      </c>
      <c r="C2" s="340"/>
      <c r="D2" s="340"/>
      <c r="E2" s="340"/>
      <c r="F2" s="340"/>
      <c r="G2" s="72"/>
    </row>
    <row r="3" spans="1:10" ht="21" thickBot="1" x14ac:dyDescent="0.3">
      <c r="B3" s="343" t="s">
        <v>128</v>
      </c>
      <c r="C3" s="343"/>
      <c r="D3" s="343"/>
      <c r="E3" s="343"/>
      <c r="F3" s="343"/>
      <c r="G3" s="343"/>
      <c r="H3" s="343"/>
      <c r="I3" s="343"/>
      <c r="J3" s="343"/>
    </row>
    <row r="4" spans="1:10" ht="15" customHeight="1" thickTop="1" x14ac:dyDescent="0.2">
      <c r="A4" s="66"/>
      <c r="B4" s="179" t="s">
        <v>129</v>
      </c>
      <c r="C4" s="180">
        <f>IF('3a Budget plan'!K47="",0,'3a Budget plan'!K47)</f>
        <v>0</v>
      </c>
      <c r="D4" s="372" t="str">
        <f>" additional giving per week in " &amp; '1 Start here'!$C$21</f>
        <v xml:space="preserve"> additional giving per week in </v>
      </c>
      <c r="E4" s="372"/>
      <c r="F4" s="372"/>
    </row>
    <row r="5" spans="1:10" ht="15" customHeight="1" thickBot="1" x14ac:dyDescent="0.25">
      <c r="A5" s="66"/>
      <c r="B5" s="179" t="s">
        <v>130</v>
      </c>
      <c r="C5" s="170">
        <f>Calculations!$D$14</f>
        <v>0</v>
      </c>
      <c r="D5" s="372" t="str">
        <f>" givers in " &amp; '1 Start here'!$C$18</f>
        <v xml:space="preserve"> givers in </v>
      </c>
      <c r="E5" s="372"/>
      <c r="F5" s="372"/>
    </row>
    <row r="6" spans="1:10" s="182" customFormat="1" ht="15" customHeight="1" thickBot="1" x14ac:dyDescent="0.2">
      <c r="A6" s="181"/>
      <c r="B6" s="171" t="s">
        <v>131</v>
      </c>
      <c r="C6" s="201"/>
      <c r="D6" s="373" t="str">
        <f>" people to increase their giving in "&amp;'1 Start here'!$C$21&amp;" (or start giving)"</f>
        <v xml:space="preserve"> people to increase their giving in  (or start giving)</v>
      </c>
      <c r="E6" s="373"/>
      <c r="F6" s="373"/>
    </row>
    <row r="7" spans="1:10" x14ac:dyDescent="0.15">
      <c r="B7"/>
      <c r="C7"/>
      <c r="D7"/>
      <c r="E7"/>
      <c r="F7"/>
    </row>
    <row r="8" spans="1:10" ht="51" customHeight="1" x14ac:dyDescent="0.15">
      <c r="B8" s="183" t="s">
        <v>132</v>
      </c>
      <c r="C8" s="371" t="s">
        <v>133</v>
      </c>
      <c r="D8" s="371"/>
      <c r="E8" s="183" t="s">
        <v>134</v>
      </c>
      <c r="F8" s="183" t="s">
        <v>135</v>
      </c>
      <c r="G8" s="184" t="s">
        <v>136</v>
      </c>
      <c r="H8" s="184" t="s">
        <v>137</v>
      </c>
      <c r="I8" s="184" t="s">
        <v>138</v>
      </c>
    </row>
    <row r="9" spans="1:10" ht="15" customHeight="1" x14ac:dyDescent="0.15">
      <c r="A9" s="185"/>
      <c r="B9" s="186">
        <f>IFERROR($C$6-SUM($B$10:$B$15),0)</f>
        <v>0</v>
      </c>
      <c r="C9" s="374" t="str">
        <f>IF($C$6&gt;0, IF($I9&gt;0,ROUND($C$4*$H9/SUM($I$9:$I$15)*2,0)/2,0),"")</f>
        <v/>
      </c>
      <c r="D9" s="374"/>
      <c r="E9" s="188" t="str">
        <f>IF($C$6&gt;0, ROUNDUP(C9*4.4,1),"")</f>
        <v/>
      </c>
      <c r="F9" s="187">
        <f t="shared" ref="F9:F15" si="0">IFERROR(C9*B9,0)</f>
        <v>0</v>
      </c>
      <c r="G9" s="184"/>
      <c r="H9" s="184">
        <v>1</v>
      </c>
      <c r="I9" s="184">
        <f t="shared" ref="I9:I15" si="1">B9*H9</f>
        <v>0</v>
      </c>
      <c r="J9" s="189"/>
    </row>
    <row r="10" spans="1:10" ht="15" customHeight="1" x14ac:dyDescent="0.15">
      <c r="A10" s="190"/>
      <c r="B10" s="186">
        <f>IFERROR(ROUNDDOWN(($G10*$C$6),0),0)</f>
        <v>0</v>
      </c>
      <c r="C10" s="374" t="str">
        <f t="shared" ref="C10:C12" si="2">IF($C$6&gt;0, IF($I10&gt;0,ROUND($C$4*$H10/SUM($I$9:$I$15)*2,0)/2,0),"")</f>
        <v/>
      </c>
      <c r="D10" s="374"/>
      <c r="E10" s="188" t="str">
        <f t="shared" ref="E10:E15" si="3">IF($C$6&gt;0, ROUNDUP(C10*4.4,1),"")</f>
        <v/>
      </c>
      <c r="F10" s="187">
        <f t="shared" si="0"/>
        <v>0</v>
      </c>
      <c r="G10" s="191">
        <v>0.27</v>
      </c>
      <c r="H10" s="184">
        <v>2</v>
      </c>
      <c r="I10" s="184">
        <f t="shared" si="1"/>
        <v>0</v>
      </c>
    </row>
    <row r="11" spans="1:10" ht="15" customHeight="1" x14ac:dyDescent="0.15">
      <c r="A11" s="190"/>
      <c r="B11" s="186">
        <f t="shared" ref="B11:B15" si="4">IFERROR(ROUNDDOWN(($G11*$C$6),0),0)</f>
        <v>0</v>
      </c>
      <c r="C11" s="374" t="str">
        <f t="shared" si="2"/>
        <v/>
      </c>
      <c r="D11" s="374"/>
      <c r="E11" s="188" t="str">
        <f t="shared" si="3"/>
        <v/>
      </c>
      <c r="F11" s="187">
        <f t="shared" si="0"/>
        <v>0</v>
      </c>
      <c r="G11" s="191">
        <v>0.3</v>
      </c>
      <c r="H11" s="184">
        <v>3</v>
      </c>
      <c r="I11" s="184">
        <f t="shared" si="1"/>
        <v>0</v>
      </c>
    </row>
    <row r="12" spans="1:10" ht="15" customHeight="1" x14ac:dyDescent="0.15">
      <c r="A12" s="190"/>
      <c r="B12" s="186">
        <f t="shared" si="4"/>
        <v>0</v>
      </c>
      <c r="C12" s="374" t="str">
        <f t="shared" si="2"/>
        <v/>
      </c>
      <c r="D12" s="374"/>
      <c r="E12" s="188" t="str">
        <f t="shared" si="3"/>
        <v/>
      </c>
      <c r="F12" s="187">
        <f t="shared" si="0"/>
        <v>0</v>
      </c>
      <c r="G12" s="191">
        <v>0.2</v>
      </c>
      <c r="H12" s="184">
        <v>4</v>
      </c>
      <c r="I12" s="184">
        <f t="shared" si="1"/>
        <v>0</v>
      </c>
    </row>
    <row r="13" spans="1:10" ht="15" customHeight="1" x14ac:dyDescent="0.15">
      <c r="A13" s="190"/>
      <c r="B13" s="186">
        <f t="shared" si="4"/>
        <v>0</v>
      </c>
      <c r="C13" s="374" t="str">
        <f>IF($C$6&gt;0, IF($I13&gt;0,ROUNDUP($C$4*$H13/SUM($I$9:$I$15)*2,0)/2,0),"")</f>
        <v/>
      </c>
      <c r="D13" s="374"/>
      <c r="E13" s="188" t="str">
        <f t="shared" si="3"/>
        <v/>
      </c>
      <c r="F13" s="187">
        <f t="shared" si="0"/>
        <v>0</v>
      </c>
      <c r="G13" s="191">
        <v>0.08</v>
      </c>
      <c r="H13" s="184">
        <v>5</v>
      </c>
      <c r="I13" s="184">
        <f t="shared" si="1"/>
        <v>0</v>
      </c>
    </row>
    <row r="14" spans="1:10" ht="15" customHeight="1" x14ac:dyDescent="0.15">
      <c r="A14" s="190"/>
      <c r="B14" s="186">
        <f t="shared" si="4"/>
        <v>0</v>
      </c>
      <c r="C14" s="374" t="str">
        <f>IF($C$6&gt;0, IF($I14&gt;0,ROUNDUP($C$4*$H14/SUM($I$9:$I$15)*2,0)/2,0),"")</f>
        <v/>
      </c>
      <c r="D14" s="374"/>
      <c r="E14" s="188" t="str">
        <f t="shared" si="3"/>
        <v/>
      </c>
      <c r="F14" s="187">
        <f t="shared" si="0"/>
        <v>0</v>
      </c>
      <c r="G14" s="191">
        <v>0.05</v>
      </c>
      <c r="H14" s="184">
        <v>6</v>
      </c>
      <c r="I14" s="184">
        <f t="shared" si="1"/>
        <v>0</v>
      </c>
    </row>
    <row r="15" spans="1:10" ht="15" customHeight="1" x14ac:dyDescent="0.15">
      <c r="A15" s="190"/>
      <c r="B15" s="186">
        <f t="shared" si="4"/>
        <v>0</v>
      </c>
      <c r="C15" s="374" t="str">
        <f>IF($C$6&gt;0, IF($I15&gt;0,ROUNDUP($C$4*$H15/SUM($I$9:$I$15)*2,0)/2,0),"")</f>
        <v/>
      </c>
      <c r="D15" s="374"/>
      <c r="E15" s="188" t="str">
        <f t="shared" si="3"/>
        <v/>
      </c>
      <c r="F15" s="187">
        <f t="shared" si="0"/>
        <v>0</v>
      </c>
      <c r="G15" s="191">
        <v>0.03</v>
      </c>
      <c r="H15" s="184">
        <v>7</v>
      </c>
      <c r="I15" s="184">
        <f t="shared" si="1"/>
        <v>0</v>
      </c>
    </row>
    <row r="16" spans="1:10" ht="15" customHeight="1" thickBot="1" x14ac:dyDescent="0.2">
      <c r="B16" s="192">
        <f>SUM(B9:B15)</f>
        <v>0</v>
      </c>
      <c r="C16" s="193"/>
      <c r="D16" s="193"/>
      <c r="E16" s="194"/>
      <c r="F16" s="195">
        <f>SUM(F9:F15)</f>
        <v>0</v>
      </c>
      <c r="G16" s="184"/>
    </row>
    <row r="17" spans="2:10" ht="14" thickTop="1" x14ac:dyDescent="0.15"/>
    <row r="19" spans="2:10" ht="21" thickBot="1" x14ac:dyDescent="0.3">
      <c r="B19" s="343" t="s">
        <v>139</v>
      </c>
      <c r="C19" s="343"/>
      <c r="D19" s="343"/>
      <c r="E19" s="343"/>
      <c r="F19" s="343"/>
      <c r="G19" s="343"/>
      <c r="H19" s="343"/>
      <c r="I19" s="343"/>
      <c r="J19" s="343"/>
    </row>
    <row r="20" spans="2:10" ht="14" thickTop="1" x14ac:dyDescent="0.15"/>
    <row r="21" spans="2:10" ht="46.25" customHeight="1" x14ac:dyDescent="0.15">
      <c r="B21" s="183" t="s">
        <v>132</v>
      </c>
      <c r="C21" s="371" t="s">
        <v>133</v>
      </c>
      <c r="D21" s="371"/>
      <c r="E21" s="183" t="s">
        <v>134</v>
      </c>
      <c r="F21" s="183" t="s">
        <v>135</v>
      </c>
    </row>
    <row r="22" spans="2:10" x14ac:dyDescent="0.15">
      <c r="B22" s="172"/>
      <c r="C22" s="369"/>
      <c r="D22" s="369"/>
      <c r="E22" s="188">
        <f t="shared" ref="E22:E28" si="5">C22*4.4</f>
        <v>0</v>
      </c>
      <c r="F22" s="188">
        <f t="shared" ref="F22:F28" si="6">IFERROR(B22*C22,0)</f>
        <v>0</v>
      </c>
    </row>
    <row r="23" spans="2:10" x14ac:dyDescent="0.15">
      <c r="B23" s="172"/>
      <c r="C23" s="369"/>
      <c r="D23" s="369"/>
      <c r="E23" s="188">
        <f t="shared" si="5"/>
        <v>0</v>
      </c>
      <c r="F23" s="188">
        <f t="shared" si="6"/>
        <v>0</v>
      </c>
    </row>
    <row r="24" spans="2:10" x14ac:dyDescent="0.15">
      <c r="B24" s="172"/>
      <c r="C24" s="369"/>
      <c r="D24" s="369"/>
      <c r="E24" s="188">
        <f t="shared" si="5"/>
        <v>0</v>
      </c>
      <c r="F24" s="188">
        <f t="shared" si="6"/>
        <v>0</v>
      </c>
    </row>
    <row r="25" spans="2:10" x14ac:dyDescent="0.15">
      <c r="B25" s="172"/>
      <c r="C25" s="369"/>
      <c r="D25" s="369"/>
      <c r="E25" s="188">
        <f t="shared" si="5"/>
        <v>0</v>
      </c>
      <c r="F25" s="188">
        <f t="shared" si="6"/>
        <v>0</v>
      </c>
    </row>
    <row r="26" spans="2:10" x14ac:dyDescent="0.15">
      <c r="B26" s="172"/>
      <c r="C26" s="369"/>
      <c r="D26" s="369"/>
      <c r="E26" s="188">
        <f t="shared" si="5"/>
        <v>0</v>
      </c>
      <c r="F26" s="188">
        <f t="shared" si="6"/>
        <v>0</v>
      </c>
    </row>
    <row r="27" spans="2:10" x14ac:dyDescent="0.15">
      <c r="B27" s="172"/>
      <c r="C27" s="369"/>
      <c r="D27" s="369"/>
      <c r="E27" s="188">
        <f t="shared" si="5"/>
        <v>0</v>
      </c>
      <c r="F27" s="188">
        <f t="shared" si="6"/>
        <v>0</v>
      </c>
    </row>
    <row r="28" spans="2:10" x14ac:dyDescent="0.15">
      <c r="B28" s="172"/>
      <c r="C28" s="369"/>
      <c r="D28" s="369"/>
      <c r="E28" s="188">
        <f t="shared" si="5"/>
        <v>0</v>
      </c>
      <c r="F28" s="188">
        <f t="shared" si="6"/>
        <v>0</v>
      </c>
    </row>
    <row r="29" spans="2:10" ht="14" thickBot="1" x14ac:dyDescent="0.2">
      <c r="B29" s="196">
        <f>SUM(B22:B28)</f>
        <v>0</v>
      </c>
      <c r="C29" s="197"/>
      <c r="D29" s="198"/>
      <c r="E29" s="199"/>
      <c r="F29" s="200">
        <f>SUM(F22:F28)</f>
        <v>0</v>
      </c>
    </row>
    <row r="30" spans="2:10" ht="15" thickTop="1" thickBot="1" x14ac:dyDescent="0.2"/>
    <row r="31" spans="2:10" ht="16" thickBot="1" x14ac:dyDescent="0.25">
      <c r="B31" s="370" t="s">
        <v>140</v>
      </c>
      <c r="C31" s="370"/>
      <c r="D31" s="370"/>
      <c r="E31" s="370"/>
      <c r="F31" s="202" t="s">
        <v>141</v>
      </c>
    </row>
  </sheetData>
  <sheetProtection sheet="1" selectLockedCells="1"/>
  <customSheetViews>
    <customSheetView guid="{359010A1-0405-4C05-8A51-03FA4E24F244}" showGridLines="0" hiddenColumns="1" topLeftCell="A8">
      <selection activeCell="R17" sqref="R17"/>
    </customSheetView>
    <customSheetView guid="{6E4277CF-1161-4602-99B2-7466BE4F7FEC}" showGridLines="0" hiddenColumns="1" topLeftCell="A8">
      <selection activeCell="R17" sqref="R17"/>
    </customSheetView>
  </customSheetViews>
  <mergeCells count="23">
    <mergeCell ref="B2:F2"/>
    <mergeCell ref="B3:J3"/>
    <mergeCell ref="B19:J19"/>
    <mergeCell ref="D4:F4"/>
    <mergeCell ref="D5:F5"/>
    <mergeCell ref="D6:F6"/>
    <mergeCell ref="C8:D8"/>
    <mergeCell ref="C9:D9"/>
    <mergeCell ref="C10:D10"/>
    <mergeCell ref="C11:D11"/>
    <mergeCell ref="C12:D12"/>
    <mergeCell ref="C13:D13"/>
    <mergeCell ref="C14:D14"/>
    <mergeCell ref="C15:D15"/>
    <mergeCell ref="C26:D26"/>
    <mergeCell ref="C27:D27"/>
    <mergeCell ref="C28:D28"/>
    <mergeCell ref="B31:E31"/>
    <mergeCell ref="C21:D21"/>
    <mergeCell ref="C22:D22"/>
    <mergeCell ref="C23:D23"/>
    <mergeCell ref="C24:D24"/>
    <mergeCell ref="C25:D25"/>
  </mergeCells>
  <conditionalFormatting sqref="F29">
    <cfRule type="expression" dxfId="38" priority="5">
      <formula>$F$29&lt;$C$4</formula>
    </cfRule>
  </conditionalFormatting>
  <dataValidations count="1">
    <dataValidation type="list" allowBlank="1" showInputMessage="1" showErrorMessage="1" sqref="F31" xr:uid="{F6B8F28B-2719-4AEF-9EFF-D0AEC007E330}">
      <formula1>"No, Yes"</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69A51-C758-454A-9D80-D8F3C5586D3C}">
  <sheetPr>
    <tabColor theme="5" tint="-0.499984740745262"/>
  </sheetPr>
  <dimension ref="A1:AL202"/>
  <sheetViews>
    <sheetView workbookViewId="0">
      <selection activeCell="H19" sqref="H19"/>
    </sheetView>
  </sheetViews>
  <sheetFormatPr baseColWidth="10" defaultColWidth="8.6640625" defaultRowHeight="13" x14ac:dyDescent="0.15"/>
  <cols>
    <col min="1" max="1" width="20.83203125" style="2" bestFit="1" customWidth="1"/>
    <col min="2" max="4" width="8.6640625" style="2"/>
    <col min="5" max="5" width="9" style="2" bestFit="1" customWidth="1"/>
    <col min="6" max="6" width="8.6640625" style="2"/>
    <col min="7" max="7" width="2.33203125" style="2" customWidth="1"/>
    <col min="8" max="9" width="8.6640625" style="2"/>
    <col min="10" max="10" width="9.1640625" style="2" bestFit="1" customWidth="1"/>
    <col min="11" max="11" width="1.83203125" style="2" customWidth="1"/>
    <col min="12" max="15" width="8.6640625" style="2"/>
    <col min="16" max="16" width="1.6640625" style="2" customWidth="1"/>
    <col min="17" max="19" width="8.6640625" style="2"/>
    <col min="20" max="20" width="1.6640625" style="2" customWidth="1"/>
    <col min="21" max="23" width="8.6640625" style="2"/>
    <col min="24" max="24" width="1.6640625" style="2" customWidth="1"/>
    <col min="25" max="28" width="8.6640625" style="2"/>
    <col min="29" max="29" width="8.6640625" style="74"/>
    <col min="30" max="32" width="8.6640625" style="2"/>
    <col min="33" max="33" width="8.6640625" style="74"/>
    <col min="34" max="35" width="8.6640625" style="274"/>
    <col min="36" max="16384" width="8.6640625" style="2"/>
  </cols>
  <sheetData>
    <row r="1" spans="1:38" x14ac:dyDescent="0.15">
      <c r="AC1" s="74" t="str" cm="1">
        <f t="array" ref="AC1:AC202">IF(ISNUMBER('2b Giving history'!$B2:$B203),'2b Giving history'!$B2:$B203,"")</f>
        <v/>
      </c>
      <c r="AD1" s="2" cm="1">
        <f t="array" ref="AD1:AD202">'2b Giving history'!C2:C203</f>
        <v>0</v>
      </c>
      <c r="AE1" s="2" cm="1">
        <f t="array" ref="AE1:AE202">'2b Giving history'!D2:D203</f>
        <v>0</v>
      </c>
      <c r="AF1" s="2" cm="1">
        <f t="array" ref="AF1:AF202">'2b Giving history'!E2:E203</f>
        <v>0</v>
      </c>
      <c r="AG1" s="74" t="str" cm="1">
        <f t="array" ref="AG1:AG202">IF(ISNUMBER('2b Giving history'!$B2:$B203),'2b Giving history'!$B2:$B203/52,"")</f>
        <v/>
      </c>
      <c r="AH1" s="273" t="s">
        <v>142</v>
      </c>
      <c r="AI1" s="274" t="s">
        <v>143</v>
      </c>
      <c r="AJ1" s="2" t="str">
        <f>Q2</f>
        <v>PGS</v>
      </c>
      <c r="AK1" s="2" t="str">
        <f>U2</f>
        <v>SO</v>
      </c>
      <c r="AL1" s="2" t="str">
        <f>Y2</f>
        <v>Envelope</v>
      </c>
    </row>
    <row r="2" spans="1:38" ht="31.25" customHeight="1" x14ac:dyDescent="0.15">
      <c r="D2" s="376" t="s">
        <v>34</v>
      </c>
      <c r="E2" s="377"/>
      <c r="F2" s="378"/>
      <c r="H2" s="383" t="s">
        <v>144</v>
      </c>
      <c r="I2" s="384"/>
      <c r="J2" s="385"/>
      <c r="L2" s="383" t="s">
        <v>145</v>
      </c>
      <c r="M2" s="384"/>
      <c r="N2" s="385"/>
      <c r="O2" s="250"/>
      <c r="Q2" s="376" t="str">
        <f>'2b Giving history'!I6</f>
        <v>PGS</v>
      </c>
      <c r="R2" s="377"/>
      <c r="S2" s="378"/>
      <c r="U2" s="376" t="str">
        <f>'2b Giving history'!I7</f>
        <v>SO</v>
      </c>
      <c r="V2" s="377"/>
      <c r="W2" s="378"/>
      <c r="Y2" s="376" t="str">
        <f>'2b Giving history'!I8</f>
        <v>Envelope</v>
      </c>
      <c r="Z2" s="377"/>
      <c r="AA2" s="378"/>
      <c r="AC2" s="2" t="str">
        <v/>
      </c>
      <c r="AD2" s="2" t="str">
        <v>Gift Aid-able?</v>
      </c>
      <c r="AE2" s="2" t="str">
        <v>Giving method</v>
      </c>
      <c r="AF2" s="2" t="str">
        <v>Age band</v>
      </c>
      <c r="AG2" s="74" t="str">
        <v/>
      </c>
      <c r="AH2" s="273" t="e" cm="1" vm="1">
        <f t="array" ref="AH2">_xlfn._xlws.FILTER(_xlfn._TRO_TRAILING('2b Giving history'!$B2:$B203),_xlfn._TRO_TRAILING('2b Giving history'!$C2:$C203)="Yes")</f>
        <v>#VALUE!</v>
      </c>
      <c r="AI2" s="273" t="e" cm="1" vm="1">
        <f t="array" ref="AI2">_xlfn._xlws.FILTER('2b Giving history'!$B2:$B203,'2b Giving history'!$C2:$C203="No")</f>
        <v>#VALUE!</v>
      </c>
      <c r="AJ2" s="73" t="e" cm="1" vm="1">
        <f t="array" ref="AJ2">_xlfn._xlws.FILTER('2b Giving history'!$B2:$B203,'2b Giving history'!$D2:$D203=AJ1)</f>
        <v>#VALUE!</v>
      </c>
      <c r="AK2" s="73" t="e" cm="1" vm="1">
        <f t="array" ref="AK2">_xlfn._xlws.FILTER('2b Giving history'!$B2:$B203,'2b Giving history'!$D2:$D203=AK1)</f>
        <v>#VALUE!</v>
      </c>
      <c r="AL2" s="73" t="e" cm="1" vm="1">
        <f t="array" ref="AL2">_xlfn._xlws.FILTER('2b Giving history'!$B2:$B203,'2b Giving history'!$D2:$D203=AL1)</f>
        <v>#VALUE!</v>
      </c>
    </row>
    <row r="3" spans="1:38" s="251" customFormat="1" ht="32.25" customHeight="1" x14ac:dyDescent="0.15">
      <c r="B3" s="381" t="s">
        <v>146</v>
      </c>
      <c r="C3" s="382"/>
      <c r="D3" s="252" t="s">
        <v>147</v>
      </c>
      <c r="E3" s="252" t="s">
        <v>148</v>
      </c>
      <c r="F3" s="279" t="s">
        <v>149</v>
      </c>
      <c r="H3" s="252" t="s">
        <v>147</v>
      </c>
      <c r="I3" s="252" t="s">
        <v>148</v>
      </c>
      <c r="J3" s="252" t="s">
        <v>149</v>
      </c>
      <c r="L3" s="252" t="s">
        <v>147</v>
      </c>
      <c r="M3" s="252" t="s">
        <v>148</v>
      </c>
      <c r="N3" s="252" t="s">
        <v>149</v>
      </c>
      <c r="O3" s="253"/>
      <c r="Q3" s="252" t="s">
        <v>147</v>
      </c>
      <c r="R3" s="252" t="s">
        <v>148</v>
      </c>
      <c r="S3" s="252" t="s">
        <v>149</v>
      </c>
      <c r="U3" s="252" t="s">
        <v>147</v>
      </c>
      <c r="V3" s="252" t="s">
        <v>148</v>
      </c>
      <c r="W3" s="252" t="s">
        <v>149</v>
      </c>
      <c r="Y3" s="252" t="s">
        <v>147</v>
      </c>
      <c r="Z3" s="252" t="s">
        <v>148</v>
      </c>
      <c r="AA3" s="252" t="s">
        <v>149</v>
      </c>
      <c r="AC3" s="254" t="str">
        <v/>
      </c>
      <c r="AD3" s="251">
        <v>0</v>
      </c>
      <c r="AE3" s="251">
        <v>0</v>
      </c>
      <c r="AF3" s="251">
        <v>0</v>
      </c>
      <c r="AG3" s="254" t="str">
        <v/>
      </c>
      <c r="AH3" s="275"/>
      <c r="AI3" s="275"/>
    </row>
    <row r="4" spans="1:38" x14ac:dyDescent="0.15">
      <c r="A4" s="2" t="str">
        <f>TEXT(B4,"£0.00")&amp;" - "&amp;TEXT(C4,"£0.00")</f>
        <v>£0.00 - £2.49</v>
      </c>
      <c r="B4" s="255">
        <f>'5 Digging deeper'!U9</f>
        <v>0</v>
      </c>
      <c r="C4" s="255">
        <f>'5 Digging deeper'!V9</f>
        <v>2.4900000000000002</v>
      </c>
      <c r="D4" s="256">
        <f>COUNTIFS(_xlfn.ANCHORARRAY($AG$1),CONCATENATE("&gt;=",TEXT($B4,"#0.00")),_xlfn.ANCHORARRAY($AG$1),CONCATENATE("&lt;",TEXT($B5,"#0.00")))</f>
        <v>0</v>
      </c>
      <c r="E4" s="188">
        <f>SUMIFS(_xlfn.ANCHORARRAY($AC$1),_xlfn.ANCHORARRAY($AG$1),CONCATENATE("&lt;",TEXT($B5,"#0.00")))</f>
        <v>0</v>
      </c>
      <c r="F4" s="257" t="e">
        <f t="shared" ref="F4:F13" si="0">E4/E$14</f>
        <v>#DIV/0!</v>
      </c>
      <c r="H4" s="277">
        <f t="shared" ref="H4:H12" si="1">COUNTIFS(_xlfn.ANCHORARRAY($AG$1),CONCATENATE("&gt;=",TEXT($B4,"#0.00")),_xlfn.ANCHORARRAY($AG$1),CONCATENATE("&lt;",TEXT($B5,"#0.00")),_xlfn.ANCHORARRAY($AD$1),"Yes")</f>
        <v>0</v>
      </c>
      <c r="I4" s="258">
        <f>SUMIFS(_xlfn.ANCHORARRAY($AC$1),_xlfn.ANCHORARRAY($AG$1),CONCATENATE("&gt;=",TEXT($B4,"#0.00")),_xlfn.ANCHORARRAY($AG$1),CONCATENATE("&lt;",TEXT($B5,"#0.00")),_xlfn.ANCHORARRAY($AD$1),"Yes")</f>
        <v>0</v>
      </c>
      <c r="J4" s="257" t="e">
        <f t="shared" ref="J4:J13" si="2">I4/I$14</f>
        <v>#DIV/0!</v>
      </c>
      <c r="L4" s="277">
        <f>COUNTIFS(_xlfn.ANCHORARRAY($AG$1),CONCATENATE("&gt;=",TEXT($B4,"#0.00")),_xlfn.ANCHORARRAY($AG$1),CONCATENATE("&lt;",TEXT($B5,"#0.00")),_xlfn.ANCHORARRAY($AD$1),"No")</f>
        <v>0</v>
      </c>
      <c r="M4" s="258">
        <f>SUMIFS(_xlfn.ANCHORARRAY($AC$1),_xlfn.ANCHORARRAY($AG$1),CONCATENATE("&gt;=",TEXT($B4,"#0.00")),_xlfn.ANCHORARRAY($AG$1),CONCATENATE("&lt;",TEXT($B5,"#0.00")),_xlfn.ANCHORARRAY($AD$1),"No")</f>
        <v>0</v>
      </c>
      <c r="N4" s="257" t="e">
        <f t="shared" ref="N4:N13" si="3">M4/M$14</f>
        <v>#DIV/0!</v>
      </c>
      <c r="O4" s="31"/>
      <c r="Q4" s="256">
        <f>COUNTIFS(_xlfn.ANCHORARRAY($AG$1),CONCATENATE("&gt;=",TEXT($B4,"#0.00")),_xlfn.ANCHORARRAY($AG$1),CONCATENATE("&lt;",TEXT($B5,"#0.00")),_xlfn.ANCHORARRAY($AE$1),Q$2)</f>
        <v>0</v>
      </c>
      <c r="R4" s="258">
        <f>SUMIFS(_xlfn.ANCHORARRAY($AC$1),_xlfn.ANCHORARRAY($AG$1),CONCATENATE("&gt;=",TEXT($B4,"#0.00")),_xlfn.ANCHORARRAY($AG$1),CONCATENATE("&lt;",TEXT($B5,"#0.00")),_xlfn.ANCHORARRAY($AE$1),Q$2)</f>
        <v>0</v>
      </c>
      <c r="S4" s="257" t="e">
        <f t="shared" ref="S4:S13" si="4">R4/R$14</f>
        <v>#DIV/0!</v>
      </c>
      <c r="U4" s="256">
        <f>COUNTIFS(_xlfn.ANCHORARRAY($AG$1),CONCATENATE("&gt;=",TEXT($B4,"#0.00")),_xlfn.ANCHORARRAY($AG$1),CONCATENATE("&lt;",TEXT($B5,"#0.00")),_xlfn.ANCHORARRAY($AE$1),U$2)</f>
        <v>0</v>
      </c>
      <c r="V4" s="258">
        <f>SUMIFS(_xlfn.ANCHORARRAY($AC$1),_xlfn.ANCHORARRAY($AG$1),CONCATENATE("&gt;=",TEXT($B4,"#0.00")),_xlfn.ANCHORARRAY($AG$1),CONCATENATE("&lt;",TEXT($B5,"#0.00")),_xlfn.ANCHORARRAY($AE$1),U$2)</f>
        <v>0</v>
      </c>
      <c r="W4" s="257" t="e">
        <f t="shared" ref="W4:W13" si="5">V4/V$14</f>
        <v>#DIV/0!</v>
      </c>
      <c r="Y4" s="256">
        <f>COUNTIFS(_xlfn.ANCHORARRAY($AG$1),CONCATENATE("&gt;=",TEXT($B4,"#0.00")),_xlfn.ANCHORARRAY($AG$1),CONCATENATE("&lt;",TEXT($B5,"#0.00")),_xlfn.ANCHORARRAY($AE$1),Y$2)</f>
        <v>0</v>
      </c>
      <c r="Z4" s="258">
        <f>SUMIFS(_xlfn.ANCHORARRAY($AC$1),_xlfn.ANCHORARRAY($AG$1),CONCATENATE("&gt;=",TEXT($B4,"#0.00")),_xlfn.ANCHORARRAY($AG$1),CONCATENATE("&lt;",TEXT($B5,"#0.00")),_xlfn.ANCHORARRAY($AE$1),Y$2)</f>
        <v>0</v>
      </c>
      <c r="AA4" s="257" t="e">
        <f>Z4/Z$14</f>
        <v>#DIV/0!</v>
      </c>
      <c r="AC4" s="74" t="str">
        <v/>
      </c>
      <c r="AD4" s="2">
        <v>0</v>
      </c>
      <c r="AE4" s="2">
        <v>0</v>
      </c>
      <c r="AF4" s="2">
        <v>0</v>
      </c>
      <c r="AG4" s="74" t="str">
        <v/>
      </c>
    </row>
    <row r="5" spans="1:38" x14ac:dyDescent="0.15">
      <c r="A5" s="2" t="str">
        <f t="shared" ref="A5:A12" si="6">TEXT(B5,"£0.00")&amp;" - "&amp;TEXT(C5,"£0.00")</f>
        <v>£2.50 - £4.99</v>
      </c>
      <c r="B5" s="255">
        <f>'5 Digging deeper'!U10</f>
        <v>2.5</v>
      </c>
      <c r="C5" s="255">
        <f>'5 Digging deeper'!V10</f>
        <v>4.99</v>
      </c>
      <c r="D5" s="256">
        <f t="shared" ref="D5:D12" si="7">COUNTIFS(_xlfn.ANCHORARRAY($AG$1),CONCATENATE("&gt;=",TEXT($B5,"#0.00")),_xlfn.ANCHORARRAY($AG$1),CONCATENATE("&lt;",TEXT($B6,"#0.00")))</f>
        <v>0</v>
      </c>
      <c r="E5" s="188">
        <f t="shared" ref="E5:E12" si="8">SUMIFS(_xlfn.ANCHORARRAY($AC$1),_xlfn.ANCHORARRAY($AG$1),CONCATENATE("&gt;=",TEXT($B5,"#0.00")),_xlfn.ANCHORARRAY($AG$1),CONCATENATE("&lt;",TEXT($B6,"#0.00")))</f>
        <v>0</v>
      </c>
      <c r="F5" s="257" t="e">
        <f t="shared" si="0"/>
        <v>#DIV/0!</v>
      </c>
      <c r="H5" s="277">
        <f t="shared" si="1"/>
        <v>0</v>
      </c>
      <c r="I5" s="258">
        <f>SUMIFS(_xlfn.ANCHORARRAY($AC$1),_xlfn.ANCHORARRAY($AG$1),CONCATENATE("&gt;=",TEXT($B5,"#0.00")),_xlfn.ANCHORARRAY($AG$1),CONCATENATE("&lt;",TEXT($B6,"#0.00")),_xlfn.ANCHORARRAY($AD$1),"Yes")</f>
        <v>0</v>
      </c>
      <c r="J5" s="257" t="e">
        <f t="shared" si="2"/>
        <v>#DIV/0!</v>
      </c>
      <c r="L5" s="277">
        <f t="shared" ref="L5:L12" si="9">COUNTIFS(_xlfn.ANCHORARRAY($AG$1),CONCATENATE("&gt;=",TEXT($B5,"#0.00")),_xlfn.ANCHORARRAY($AG$1),CONCATENATE("&lt;",TEXT($B6,"#0.00")),_xlfn.ANCHORARRAY($AD$1),"No")</f>
        <v>0</v>
      </c>
      <c r="M5" s="258">
        <f t="shared" ref="M5:M12" si="10">SUMIFS(_xlfn.ANCHORARRAY($AC$1),_xlfn.ANCHORARRAY($AG$1),CONCATENATE("&gt;=",TEXT($B5,"#0.00")),_xlfn.ANCHORARRAY($AG$1),CONCATENATE("&lt;",TEXT($B6,"#0.00")),_xlfn.ANCHORARRAY($AD$1),"No")</f>
        <v>0</v>
      </c>
      <c r="N5" s="257" t="e">
        <f t="shared" si="3"/>
        <v>#DIV/0!</v>
      </c>
      <c r="O5" s="31"/>
      <c r="Q5" s="256">
        <f t="shared" ref="Q5:Q12" si="11">COUNTIFS(_xlfn.ANCHORARRAY($AG$1),CONCATENATE("&gt;=",TEXT($B5,"#0.00")),_xlfn.ANCHORARRAY($AG$1),CONCATENATE("&lt;",TEXT($B6,"#0.00")),_xlfn.ANCHORARRAY($AE$1),$Q$2)</f>
        <v>0</v>
      </c>
      <c r="R5" s="258">
        <f t="shared" ref="R5:R12" si="12">SUMIFS(_xlfn.ANCHORARRAY($AC$1),_xlfn.ANCHORARRAY($AG$1),CONCATENATE("&gt;=",TEXT($B5,"#0.00")),_xlfn.ANCHORARRAY($AG$1),CONCATENATE("&lt;",TEXT($B6,"#0.00")),_xlfn.ANCHORARRAY($AE$1),$Q$2)</f>
        <v>0</v>
      </c>
      <c r="S5" s="257" t="e">
        <f t="shared" si="4"/>
        <v>#DIV/0!</v>
      </c>
      <c r="U5" s="256">
        <f t="shared" ref="U5:U12" si="13">COUNTIFS(_xlfn.ANCHORARRAY($AG$1),CONCATENATE("&gt;=",TEXT($B5,"#0.00")),_xlfn.ANCHORARRAY($AG$1),CONCATENATE("&lt;",TEXT($B6,"#0.00")),_xlfn.ANCHORARRAY($AE$1),U$2)</f>
        <v>0</v>
      </c>
      <c r="V5" s="258">
        <f t="shared" ref="V5:V12" si="14">SUMIFS(_xlfn.ANCHORARRAY($AC$1),_xlfn.ANCHORARRAY($AG$1),CONCATENATE("&gt;=",TEXT($B5,"#0.00")),_xlfn.ANCHORARRAY($AG$1),CONCATENATE("&lt;",TEXT($B6,"#0.00")),_xlfn.ANCHORARRAY($AE$1),U$2)</f>
        <v>0</v>
      </c>
      <c r="W5" s="257" t="e">
        <f t="shared" si="5"/>
        <v>#DIV/0!</v>
      </c>
      <c r="Y5" s="256">
        <f t="shared" ref="Y5:Y12" si="15">COUNTIFS(_xlfn.ANCHORARRAY($AG$1),CONCATENATE("&gt;=",TEXT($B5,"#0.00")),_xlfn.ANCHORARRAY($AG$1),CONCATENATE("&lt;",TEXT($B6,"#0.00")),_xlfn.ANCHORARRAY($AE$1),Y$2)</f>
        <v>0</v>
      </c>
      <c r="Z5" s="258">
        <f t="shared" ref="Z5:Z12" si="16">SUMIFS(_xlfn.ANCHORARRAY($AC$1),_xlfn.ANCHORARRAY($AG$1),CONCATENATE("&gt;=",TEXT($B5,"#0.00")),_xlfn.ANCHORARRAY($AG$1),CONCATENATE("&lt;",TEXT($B6,"#0.00")),_xlfn.ANCHORARRAY($AE$1),Y$2)</f>
        <v>0</v>
      </c>
      <c r="AA5" s="257" t="e">
        <f t="shared" ref="AA5:AA13" si="17">Z5/Z$14</f>
        <v>#DIV/0!</v>
      </c>
      <c r="AC5" s="74" t="str">
        <v/>
      </c>
      <c r="AD5" s="2">
        <v>0</v>
      </c>
      <c r="AE5" s="2">
        <v>0</v>
      </c>
      <c r="AF5" s="2">
        <v>0</v>
      </c>
      <c r="AG5" s="74" t="str">
        <v/>
      </c>
    </row>
    <row r="6" spans="1:38" x14ac:dyDescent="0.15">
      <c r="A6" s="2" t="str">
        <f t="shared" si="6"/>
        <v>£5.00 - £7.49</v>
      </c>
      <c r="B6" s="255">
        <f>'5 Digging deeper'!U11</f>
        <v>5</v>
      </c>
      <c r="C6" s="255">
        <f>'5 Digging deeper'!V11</f>
        <v>7.49</v>
      </c>
      <c r="D6" s="256">
        <f t="shared" si="7"/>
        <v>0</v>
      </c>
      <c r="E6" s="188">
        <f t="shared" si="8"/>
        <v>0</v>
      </c>
      <c r="F6" s="257" t="e">
        <f t="shared" si="0"/>
        <v>#DIV/0!</v>
      </c>
      <c r="H6" s="277">
        <f t="shared" si="1"/>
        <v>0</v>
      </c>
      <c r="I6" s="258">
        <f t="shared" ref="I6:I12" si="18">SUMIFS(_xlfn.ANCHORARRAY($AC$1),_xlfn.ANCHORARRAY($AG$1),CONCATENATE("&gt;=",TEXT($B6,"#0.00")),_xlfn.ANCHORARRAY($AG$1),CONCATENATE("&lt;",TEXT($B7,"#0.00")),_xlfn.ANCHORARRAY($AD$1),"Yes")</f>
        <v>0</v>
      </c>
      <c r="J6" s="257" t="e">
        <f t="shared" si="2"/>
        <v>#DIV/0!</v>
      </c>
      <c r="L6" s="277">
        <f t="shared" si="9"/>
        <v>0</v>
      </c>
      <c r="M6" s="258">
        <f t="shared" si="10"/>
        <v>0</v>
      </c>
      <c r="N6" s="257" t="e">
        <f t="shared" si="3"/>
        <v>#DIV/0!</v>
      </c>
      <c r="O6" s="31"/>
      <c r="Q6" s="256">
        <f t="shared" si="11"/>
        <v>0</v>
      </c>
      <c r="R6" s="258">
        <f t="shared" si="12"/>
        <v>0</v>
      </c>
      <c r="S6" s="257" t="e">
        <f t="shared" si="4"/>
        <v>#DIV/0!</v>
      </c>
      <c r="U6" s="256">
        <f t="shared" si="13"/>
        <v>0</v>
      </c>
      <c r="V6" s="258">
        <f t="shared" si="14"/>
        <v>0</v>
      </c>
      <c r="W6" s="257" t="e">
        <f t="shared" si="5"/>
        <v>#DIV/0!</v>
      </c>
      <c r="Y6" s="256">
        <f t="shared" si="15"/>
        <v>0</v>
      </c>
      <c r="Z6" s="258">
        <f t="shared" si="16"/>
        <v>0</v>
      </c>
      <c r="AA6" s="257" t="e">
        <f t="shared" si="17"/>
        <v>#DIV/0!</v>
      </c>
      <c r="AC6" s="74" t="str">
        <v/>
      </c>
      <c r="AD6" s="2">
        <v>0</v>
      </c>
      <c r="AE6" s="2">
        <v>0</v>
      </c>
      <c r="AF6" s="2">
        <v>0</v>
      </c>
      <c r="AG6" s="74" t="str">
        <v/>
      </c>
    </row>
    <row r="7" spans="1:38" x14ac:dyDescent="0.15">
      <c r="A7" s="2" t="str">
        <f t="shared" si="6"/>
        <v>£7.50 - £9.99</v>
      </c>
      <c r="B7" s="255">
        <f>'5 Digging deeper'!U12</f>
        <v>7.5</v>
      </c>
      <c r="C7" s="255">
        <f>'5 Digging deeper'!V12</f>
        <v>9.99</v>
      </c>
      <c r="D7" s="256">
        <f t="shared" si="7"/>
        <v>0</v>
      </c>
      <c r="E7" s="188">
        <f t="shared" si="8"/>
        <v>0</v>
      </c>
      <c r="F7" s="257" t="e">
        <f t="shared" si="0"/>
        <v>#DIV/0!</v>
      </c>
      <c r="H7" s="277">
        <f t="shared" si="1"/>
        <v>0</v>
      </c>
      <c r="I7" s="258">
        <f t="shared" si="18"/>
        <v>0</v>
      </c>
      <c r="J7" s="257" t="e">
        <f t="shared" si="2"/>
        <v>#DIV/0!</v>
      </c>
      <c r="L7" s="277">
        <f t="shared" si="9"/>
        <v>0</v>
      </c>
      <c r="M7" s="258">
        <f t="shared" si="10"/>
        <v>0</v>
      </c>
      <c r="N7" s="257" t="e">
        <f t="shared" si="3"/>
        <v>#DIV/0!</v>
      </c>
      <c r="O7" s="31"/>
      <c r="Q7" s="256">
        <f t="shared" si="11"/>
        <v>0</v>
      </c>
      <c r="R7" s="258">
        <f t="shared" si="12"/>
        <v>0</v>
      </c>
      <c r="S7" s="257" t="e">
        <f t="shared" si="4"/>
        <v>#DIV/0!</v>
      </c>
      <c r="U7" s="256">
        <f t="shared" si="13"/>
        <v>0</v>
      </c>
      <c r="V7" s="258">
        <f t="shared" si="14"/>
        <v>0</v>
      </c>
      <c r="W7" s="257" t="e">
        <f t="shared" si="5"/>
        <v>#DIV/0!</v>
      </c>
      <c r="Y7" s="256">
        <f t="shared" si="15"/>
        <v>0</v>
      </c>
      <c r="Z7" s="258">
        <f t="shared" si="16"/>
        <v>0</v>
      </c>
      <c r="AA7" s="257" t="e">
        <f t="shared" si="17"/>
        <v>#DIV/0!</v>
      </c>
      <c r="AC7" s="74" t="str">
        <v/>
      </c>
      <c r="AD7" s="2">
        <v>0</v>
      </c>
      <c r="AE7" s="2">
        <v>0</v>
      </c>
      <c r="AF7" s="2">
        <v>0</v>
      </c>
      <c r="AG7" s="74" t="str">
        <v/>
      </c>
    </row>
    <row r="8" spans="1:38" x14ac:dyDescent="0.15">
      <c r="A8" s="2" t="str">
        <f t="shared" si="6"/>
        <v>£10.00 - £14.99</v>
      </c>
      <c r="B8" s="255">
        <f>'5 Digging deeper'!U13</f>
        <v>10</v>
      </c>
      <c r="C8" s="255">
        <f>'5 Digging deeper'!V13</f>
        <v>14.99</v>
      </c>
      <c r="D8" s="256">
        <f t="shared" si="7"/>
        <v>0</v>
      </c>
      <c r="E8" s="188">
        <f t="shared" si="8"/>
        <v>0</v>
      </c>
      <c r="F8" s="257" t="e">
        <f t="shared" si="0"/>
        <v>#DIV/0!</v>
      </c>
      <c r="H8" s="277">
        <f t="shared" si="1"/>
        <v>0</v>
      </c>
      <c r="I8" s="258">
        <f t="shared" si="18"/>
        <v>0</v>
      </c>
      <c r="J8" s="257" t="e">
        <f t="shared" si="2"/>
        <v>#DIV/0!</v>
      </c>
      <c r="L8" s="277">
        <f t="shared" si="9"/>
        <v>0</v>
      </c>
      <c r="M8" s="258">
        <f t="shared" si="10"/>
        <v>0</v>
      </c>
      <c r="N8" s="257" t="e">
        <f t="shared" si="3"/>
        <v>#DIV/0!</v>
      </c>
      <c r="O8" s="31"/>
      <c r="Q8" s="256">
        <f t="shared" si="11"/>
        <v>0</v>
      </c>
      <c r="R8" s="258">
        <f t="shared" si="12"/>
        <v>0</v>
      </c>
      <c r="S8" s="257" t="e">
        <f t="shared" si="4"/>
        <v>#DIV/0!</v>
      </c>
      <c r="U8" s="256">
        <f t="shared" si="13"/>
        <v>0</v>
      </c>
      <c r="V8" s="258">
        <f t="shared" si="14"/>
        <v>0</v>
      </c>
      <c r="W8" s="257" t="e">
        <f t="shared" si="5"/>
        <v>#DIV/0!</v>
      </c>
      <c r="Y8" s="256">
        <f t="shared" si="15"/>
        <v>0</v>
      </c>
      <c r="Z8" s="258">
        <f t="shared" si="16"/>
        <v>0</v>
      </c>
      <c r="AA8" s="257" t="e">
        <f t="shared" si="17"/>
        <v>#DIV/0!</v>
      </c>
      <c r="AC8" s="74" t="str">
        <v/>
      </c>
      <c r="AD8" s="2">
        <v>0</v>
      </c>
      <c r="AE8" s="2">
        <v>0</v>
      </c>
      <c r="AF8" s="2">
        <v>0</v>
      </c>
      <c r="AG8" s="74" t="str">
        <v/>
      </c>
    </row>
    <row r="9" spans="1:38" x14ac:dyDescent="0.15">
      <c r="A9" s="2" t="str">
        <f t="shared" si="6"/>
        <v>£15.00 - £19.99</v>
      </c>
      <c r="B9" s="255">
        <f>'5 Digging deeper'!U14</f>
        <v>15</v>
      </c>
      <c r="C9" s="255">
        <f>'5 Digging deeper'!V14</f>
        <v>19.990000000000002</v>
      </c>
      <c r="D9" s="256">
        <f t="shared" si="7"/>
        <v>0</v>
      </c>
      <c r="E9" s="188">
        <f t="shared" si="8"/>
        <v>0</v>
      </c>
      <c r="F9" s="257" t="e">
        <f t="shared" si="0"/>
        <v>#DIV/0!</v>
      </c>
      <c r="H9" s="277">
        <f t="shared" si="1"/>
        <v>0</v>
      </c>
      <c r="I9" s="258">
        <f t="shared" si="18"/>
        <v>0</v>
      </c>
      <c r="J9" s="257" t="e">
        <f t="shared" si="2"/>
        <v>#DIV/0!</v>
      </c>
      <c r="L9" s="277">
        <f t="shared" si="9"/>
        <v>0</v>
      </c>
      <c r="M9" s="258">
        <f t="shared" si="10"/>
        <v>0</v>
      </c>
      <c r="N9" s="257" t="e">
        <f t="shared" si="3"/>
        <v>#DIV/0!</v>
      </c>
      <c r="O9" s="31"/>
      <c r="Q9" s="256">
        <f t="shared" si="11"/>
        <v>0</v>
      </c>
      <c r="R9" s="258">
        <f t="shared" si="12"/>
        <v>0</v>
      </c>
      <c r="S9" s="257" t="e">
        <f t="shared" si="4"/>
        <v>#DIV/0!</v>
      </c>
      <c r="U9" s="256">
        <f t="shared" si="13"/>
        <v>0</v>
      </c>
      <c r="V9" s="258">
        <f t="shared" si="14"/>
        <v>0</v>
      </c>
      <c r="W9" s="257" t="e">
        <f t="shared" si="5"/>
        <v>#DIV/0!</v>
      </c>
      <c r="Y9" s="256">
        <f t="shared" si="15"/>
        <v>0</v>
      </c>
      <c r="Z9" s="258">
        <f t="shared" si="16"/>
        <v>0</v>
      </c>
      <c r="AA9" s="257" t="e">
        <f t="shared" si="17"/>
        <v>#DIV/0!</v>
      </c>
      <c r="AC9" s="74" t="str">
        <v/>
      </c>
      <c r="AD9" s="2">
        <v>0</v>
      </c>
      <c r="AE9" s="2">
        <v>0</v>
      </c>
      <c r="AF9" s="2">
        <v>0</v>
      </c>
      <c r="AG9" s="74" t="str">
        <v/>
      </c>
    </row>
    <row r="10" spans="1:38" x14ac:dyDescent="0.15">
      <c r="A10" s="2" t="str">
        <f t="shared" si="6"/>
        <v>£20.00 - £27.49</v>
      </c>
      <c r="B10" s="255">
        <f>'5 Digging deeper'!U15</f>
        <v>20</v>
      </c>
      <c r="C10" s="255">
        <f>'5 Digging deeper'!V15</f>
        <v>27.490000000000002</v>
      </c>
      <c r="D10" s="256">
        <f t="shared" si="7"/>
        <v>0</v>
      </c>
      <c r="E10" s="188">
        <f t="shared" si="8"/>
        <v>0</v>
      </c>
      <c r="F10" s="257" t="e">
        <f t="shared" si="0"/>
        <v>#DIV/0!</v>
      </c>
      <c r="H10" s="277">
        <f t="shared" si="1"/>
        <v>0</v>
      </c>
      <c r="I10" s="258">
        <f t="shared" si="18"/>
        <v>0</v>
      </c>
      <c r="J10" s="257" t="e">
        <f t="shared" si="2"/>
        <v>#DIV/0!</v>
      </c>
      <c r="L10" s="277">
        <f t="shared" si="9"/>
        <v>0</v>
      </c>
      <c r="M10" s="258">
        <f t="shared" si="10"/>
        <v>0</v>
      </c>
      <c r="N10" s="257" t="e">
        <f t="shared" si="3"/>
        <v>#DIV/0!</v>
      </c>
      <c r="O10" s="31"/>
      <c r="Q10" s="256">
        <f t="shared" si="11"/>
        <v>0</v>
      </c>
      <c r="R10" s="258">
        <f t="shared" si="12"/>
        <v>0</v>
      </c>
      <c r="S10" s="257" t="e">
        <f t="shared" si="4"/>
        <v>#DIV/0!</v>
      </c>
      <c r="U10" s="256">
        <f t="shared" si="13"/>
        <v>0</v>
      </c>
      <c r="V10" s="258">
        <f t="shared" si="14"/>
        <v>0</v>
      </c>
      <c r="W10" s="257" t="e">
        <f t="shared" si="5"/>
        <v>#DIV/0!</v>
      </c>
      <c r="Y10" s="256">
        <f t="shared" si="15"/>
        <v>0</v>
      </c>
      <c r="Z10" s="258">
        <f t="shared" si="16"/>
        <v>0</v>
      </c>
      <c r="AA10" s="257" t="e">
        <f t="shared" si="17"/>
        <v>#DIV/0!</v>
      </c>
      <c r="AC10" s="74" t="str">
        <v/>
      </c>
      <c r="AD10" s="2">
        <v>0</v>
      </c>
      <c r="AE10" s="2">
        <v>0</v>
      </c>
      <c r="AF10" s="2">
        <v>0</v>
      </c>
      <c r="AG10" s="74" t="str">
        <v/>
      </c>
    </row>
    <row r="11" spans="1:38" x14ac:dyDescent="0.15">
      <c r="A11" s="2" t="str">
        <f t="shared" si="6"/>
        <v>£27.50 - £34.99</v>
      </c>
      <c r="B11" s="255">
        <f>'5 Digging deeper'!U16</f>
        <v>27.5</v>
      </c>
      <c r="C11" s="255">
        <f>'5 Digging deeper'!V16</f>
        <v>34.99</v>
      </c>
      <c r="D11" s="256">
        <f t="shared" si="7"/>
        <v>0</v>
      </c>
      <c r="E11" s="188">
        <f t="shared" si="8"/>
        <v>0</v>
      </c>
      <c r="F11" s="257" t="e">
        <f t="shared" si="0"/>
        <v>#DIV/0!</v>
      </c>
      <c r="H11" s="277">
        <f t="shared" si="1"/>
        <v>0</v>
      </c>
      <c r="I11" s="258">
        <f t="shared" si="18"/>
        <v>0</v>
      </c>
      <c r="J11" s="257" t="e">
        <f t="shared" si="2"/>
        <v>#DIV/0!</v>
      </c>
      <c r="L11" s="277">
        <f t="shared" si="9"/>
        <v>0</v>
      </c>
      <c r="M11" s="258">
        <f t="shared" si="10"/>
        <v>0</v>
      </c>
      <c r="N11" s="257" t="e">
        <f t="shared" si="3"/>
        <v>#DIV/0!</v>
      </c>
      <c r="O11" s="31"/>
      <c r="Q11" s="256">
        <f t="shared" si="11"/>
        <v>0</v>
      </c>
      <c r="R11" s="258">
        <f t="shared" si="12"/>
        <v>0</v>
      </c>
      <c r="S11" s="257" t="e">
        <f t="shared" si="4"/>
        <v>#DIV/0!</v>
      </c>
      <c r="U11" s="256">
        <f t="shared" si="13"/>
        <v>0</v>
      </c>
      <c r="V11" s="258">
        <f t="shared" si="14"/>
        <v>0</v>
      </c>
      <c r="W11" s="257" t="e">
        <f t="shared" si="5"/>
        <v>#DIV/0!</v>
      </c>
      <c r="Y11" s="256">
        <f t="shared" si="15"/>
        <v>0</v>
      </c>
      <c r="Z11" s="258">
        <f t="shared" si="16"/>
        <v>0</v>
      </c>
      <c r="AA11" s="257" t="e">
        <f t="shared" si="17"/>
        <v>#DIV/0!</v>
      </c>
      <c r="AC11" s="74" t="str">
        <v/>
      </c>
      <c r="AD11" s="2">
        <v>0</v>
      </c>
      <c r="AE11" s="2">
        <v>0</v>
      </c>
      <c r="AF11" s="2">
        <v>0</v>
      </c>
      <c r="AG11" s="74" t="str">
        <v/>
      </c>
    </row>
    <row r="12" spans="1:38" x14ac:dyDescent="0.15">
      <c r="A12" s="2" t="str">
        <f t="shared" si="6"/>
        <v>£35.00 - £44.99</v>
      </c>
      <c r="B12" s="255">
        <f>'5 Digging deeper'!U17</f>
        <v>35</v>
      </c>
      <c r="C12" s="255">
        <f>'5 Digging deeper'!V17</f>
        <v>44.99</v>
      </c>
      <c r="D12" s="256">
        <f t="shared" si="7"/>
        <v>0</v>
      </c>
      <c r="E12" s="188">
        <f t="shared" si="8"/>
        <v>0</v>
      </c>
      <c r="F12" s="257" t="e">
        <f t="shared" si="0"/>
        <v>#DIV/0!</v>
      </c>
      <c r="H12" s="277">
        <f t="shared" si="1"/>
        <v>0</v>
      </c>
      <c r="I12" s="258">
        <f t="shared" si="18"/>
        <v>0</v>
      </c>
      <c r="J12" s="257" t="e">
        <f t="shared" si="2"/>
        <v>#DIV/0!</v>
      </c>
      <c r="L12" s="277">
        <f t="shared" si="9"/>
        <v>0</v>
      </c>
      <c r="M12" s="258">
        <f t="shared" si="10"/>
        <v>0</v>
      </c>
      <c r="N12" s="257" t="e">
        <f t="shared" si="3"/>
        <v>#DIV/0!</v>
      </c>
      <c r="O12" s="31"/>
      <c r="Q12" s="256">
        <f t="shared" si="11"/>
        <v>0</v>
      </c>
      <c r="R12" s="258">
        <f t="shared" si="12"/>
        <v>0</v>
      </c>
      <c r="S12" s="257" t="e">
        <f t="shared" si="4"/>
        <v>#DIV/0!</v>
      </c>
      <c r="U12" s="256">
        <f t="shared" si="13"/>
        <v>0</v>
      </c>
      <c r="V12" s="258">
        <f t="shared" si="14"/>
        <v>0</v>
      </c>
      <c r="W12" s="257" t="e">
        <f t="shared" si="5"/>
        <v>#DIV/0!</v>
      </c>
      <c r="Y12" s="256">
        <f t="shared" si="15"/>
        <v>0</v>
      </c>
      <c r="Z12" s="258">
        <f t="shared" si="16"/>
        <v>0</v>
      </c>
      <c r="AA12" s="257" t="e">
        <f t="shared" si="17"/>
        <v>#DIV/0!</v>
      </c>
      <c r="AC12" s="74" t="str">
        <v/>
      </c>
      <c r="AD12" s="2">
        <v>0</v>
      </c>
      <c r="AE12" s="2">
        <v>0</v>
      </c>
      <c r="AF12" s="2">
        <v>0</v>
      </c>
      <c r="AG12" s="74" t="str">
        <v/>
      </c>
    </row>
    <row r="13" spans="1:38" x14ac:dyDescent="0.15">
      <c r="A13" s="2" t="str">
        <f>TEXT(B13,"£0.00") &amp;"+"</f>
        <v>£45.00+</v>
      </c>
      <c r="B13" s="255">
        <f>'5 Digging deeper'!U18</f>
        <v>45</v>
      </c>
      <c r="C13" s="255" t="str">
        <f>'5 Digging deeper'!V18</f>
        <v>£45.00+</v>
      </c>
      <c r="D13" s="256">
        <f>COUNTIFS(_xlfn.ANCHORARRAY($AG$1),CONCATENATE("&gt;=",TEXT($B13,"#0.00")))</f>
        <v>0</v>
      </c>
      <c r="E13" s="188">
        <f>SUMIFS(_xlfn.ANCHORARRAY($AC$1),_xlfn.ANCHORARRAY($AG$1),CONCATENATE("&gt;=",TEXT($B13,"#0.00")))</f>
        <v>0</v>
      </c>
      <c r="F13" s="257" t="e">
        <f t="shared" si="0"/>
        <v>#DIV/0!</v>
      </c>
      <c r="H13" s="277">
        <f>COUNTIFS(_xlfn.ANCHORARRAY($AG$1),CONCATENATE("&gt;=",TEXT($B13,"#0.00")),_xlfn.ANCHORARRAY($AD$1),"Yes")</f>
        <v>0</v>
      </c>
      <c r="I13" s="258">
        <f>SUMIFS(_xlfn.ANCHORARRAY($AC$1),_xlfn.ANCHORARRAY($AG$1),CONCATENATE("&gt;=",TEXT($B13,"#0.00")),_xlfn.ANCHORARRAY($AD$1),"Yes")</f>
        <v>0</v>
      </c>
      <c r="J13" s="257" t="e">
        <f t="shared" si="2"/>
        <v>#DIV/0!</v>
      </c>
      <c r="L13" s="277">
        <f>COUNTIFS(_xlfn.ANCHORARRAY($AG$1),CONCATENATE("&gt;=",TEXT($B13,"#0.00")),_xlfn.ANCHORARRAY($AD$1),"No")</f>
        <v>0</v>
      </c>
      <c r="M13" s="258">
        <f>SUMIFS(_xlfn.ANCHORARRAY($AC$1),_xlfn.ANCHORARRAY($AG$1),CONCATENATE("&gt;=",TEXT($B13,"#0.00")),_xlfn.ANCHORARRAY($AD$1),"No")</f>
        <v>0</v>
      </c>
      <c r="N13" s="257" t="e">
        <f t="shared" si="3"/>
        <v>#DIV/0!</v>
      </c>
      <c r="O13" s="31"/>
      <c r="Q13" s="256">
        <f>COUNTIFS(_xlfn.ANCHORARRAY($AG$1),CONCATENATE("&gt;=",TEXT($B13,"#0.00")),_xlfn.ANCHORARRAY($AE$1),Q$2)</f>
        <v>0</v>
      </c>
      <c r="R13" s="258">
        <f>SUMIFS(_xlfn.ANCHORARRAY($AC$1),_xlfn.ANCHORARRAY($AG$1),CONCATENATE("&gt;=",TEXT($B13,"#0.00")),_xlfn.ANCHORARRAY($AE$1),Q$2)</f>
        <v>0</v>
      </c>
      <c r="S13" s="257" t="e">
        <f t="shared" si="4"/>
        <v>#DIV/0!</v>
      </c>
      <c r="U13" s="256">
        <f>COUNTIFS(_xlfn.ANCHORARRAY($AG$1),CONCATENATE("&gt;=",TEXT($B13,"#0.00")),_xlfn.ANCHORARRAY($AE$1),U$2)</f>
        <v>0</v>
      </c>
      <c r="V13" s="258">
        <f>SUMIFS(_xlfn.ANCHORARRAY($AC$1),_xlfn.ANCHORARRAY($AG$1),CONCATENATE("&gt;=",TEXT($B13,"#0.00")),_xlfn.ANCHORARRAY($AE$1),U$2)</f>
        <v>0</v>
      </c>
      <c r="W13" s="257" t="e">
        <f t="shared" si="5"/>
        <v>#DIV/0!</v>
      </c>
      <c r="Y13" s="256">
        <f>COUNTIFS(_xlfn.ANCHORARRAY($AG$1),CONCATENATE("&gt;=",TEXT($B13,"#0.00")),_xlfn.ANCHORARRAY($AE$1),Y$2)</f>
        <v>0</v>
      </c>
      <c r="Z13" s="258">
        <f>SUMIFS(_xlfn.ANCHORARRAY($AC$1),_xlfn.ANCHORARRAY($AG$1),CONCATENATE("&gt;=",TEXT($B13,"#0.00")),_xlfn.ANCHORARRAY($AE$1),Y$2)</f>
        <v>0</v>
      </c>
      <c r="AA13" s="257" t="e">
        <f t="shared" si="17"/>
        <v>#DIV/0!</v>
      </c>
      <c r="AC13" s="74" t="str">
        <v/>
      </c>
      <c r="AD13" s="2">
        <v>0</v>
      </c>
      <c r="AE13" s="2">
        <v>0</v>
      </c>
      <c r="AF13" s="2">
        <v>0</v>
      </c>
      <c r="AG13" s="74" t="str">
        <v/>
      </c>
    </row>
    <row r="14" spans="1:38" ht="14" x14ac:dyDescent="0.15">
      <c r="B14" s="379" t="s">
        <v>150</v>
      </c>
      <c r="C14" s="380"/>
      <c r="D14" s="259">
        <f>SUM(D4:D13)</f>
        <v>0</v>
      </c>
      <c r="E14" s="272">
        <f>SUM(E4:E13)</f>
        <v>0</v>
      </c>
      <c r="H14" s="259">
        <f>SUM(H4:H13)</f>
        <v>0</v>
      </c>
      <c r="I14" s="260">
        <f>SUM(I4:I13)</f>
        <v>0</v>
      </c>
      <c r="L14" s="259">
        <f>SUM(L4:L13)</f>
        <v>0</v>
      </c>
      <c r="M14" s="260">
        <f>SUM(M4:M13)</f>
        <v>0</v>
      </c>
      <c r="Q14" s="259">
        <f>SUM(Q4:Q13)</f>
        <v>0</v>
      </c>
      <c r="R14" s="260">
        <f>SUM(R4:R13)</f>
        <v>0</v>
      </c>
      <c r="S14" s="280" t="e">
        <f>R14/$E$14</f>
        <v>#DIV/0!</v>
      </c>
      <c r="U14" s="259">
        <f>SUM(U4:U13)</f>
        <v>0</v>
      </c>
      <c r="V14" s="260">
        <f>SUM(V4:V13)</f>
        <v>0</v>
      </c>
      <c r="W14" s="280" t="e">
        <f>V14/$E$14</f>
        <v>#DIV/0!</v>
      </c>
      <c r="Y14" s="259">
        <f>SUM(Y4:Y13)</f>
        <v>0</v>
      </c>
      <c r="Z14" s="260">
        <f>SUM(Z4:Z13)</f>
        <v>0</v>
      </c>
      <c r="AA14" s="280" t="e">
        <f>Z14/$E$14</f>
        <v>#DIV/0!</v>
      </c>
      <c r="AC14" s="74" t="str">
        <v/>
      </c>
      <c r="AD14" s="2">
        <v>0</v>
      </c>
      <c r="AE14" s="2">
        <v>0</v>
      </c>
      <c r="AF14" s="2">
        <v>0</v>
      </c>
      <c r="AG14" s="74" t="str">
        <v/>
      </c>
    </row>
    <row r="15" spans="1:38" ht="16.5" customHeight="1" x14ac:dyDescent="0.15">
      <c r="B15" s="379" t="s">
        <v>151</v>
      </c>
      <c r="C15" s="380"/>
      <c r="E15" s="276" t="e">
        <f>AVERAGE(_xlfn.ANCHORARRAY(AG1))</f>
        <v>#DIV/0!</v>
      </c>
      <c r="I15" s="276" t="e" vm="2">
        <f>AVERAGE(AH:AH)/52</f>
        <v>#VALUE!</v>
      </c>
      <c r="M15" s="276" t="e" vm="2">
        <f>AVERAGE(AI:AI)/52</f>
        <v>#VALUE!</v>
      </c>
      <c r="R15" s="187" t="e" vm="2">
        <f>AVERAGE(AJ:AJ)/52</f>
        <v>#VALUE!</v>
      </c>
      <c r="V15" s="187" t="e" vm="2">
        <f>AVERAGE(AK:AK)/52</f>
        <v>#VALUE!</v>
      </c>
      <c r="Z15" s="187" t="e" vm="2">
        <f>AVERAGE(AL:AL)/52</f>
        <v>#VALUE!</v>
      </c>
      <c r="AC15" s="74" t="str">
        <v/>
      </c>
      <c r="AD15" s="2">
        <v>0</v>
      </c>
      <c r="AE15" s="2">
        <v>0</v>
      </c>
      <c r="AF15" s="2">
        <v>0</v>
      </c>
      <c r="AG15" s="74" t="str">
        <v/>
      </c>
    </row>
    <row r="16" spans="1:38" ht="16.5" customHeight="1" x14ac:dyDescent="0.15">
      <c r="B16" s="379" t="s">
        <v>152</v>
      </c>
      <c r="C16" s="380"/>
      <c r="E16" s="276" t="e">
        <f>MEDIAN(_xlfn.ANCHORARRAY($AG$1))</f>
        <v>#NUM!</v>
      </c>
      <c r="I16" s="276" t="e" vm="2">
        <f>MEDIAN(AH:AH)/52</f>
        <v>#VALUE!</v>
      </c>
      <c r="M16" s="276" t="e" vm="2">
        <f>MEDIAN(AI:AI)/52</f>
        <v>#VALUE!</v>
      </c>
      <c r="AC16" s="74" t="str">
        <v/>
      </c>
      <c r="AD16" s="2">
        <v>0</v>
      </c>
      <c r="AE16" s="2">
        <v>0</v>
      </c>
      <c r="AF16" s="2">
        <v>0</v>
      </c>
      <c r="AG16" s="74" t="str">
        <v/>
      </c>
    </row>
    <row r="17" spans="1:35" x14ac:dyDescent="0.15">
      <c r="AC17" s="74" t="str">
        <v/>
      </c>
      <c r="AD17" s="2">
        <v>0</v>
      </c>
      <c r="AE17" s="2">
        <v>0</v>
      </c>
      <c r="AF17" s="2">
        <v>0</v>
      </c>
      <c r="AG17" s="74" t="str">
        <v/>
      </c>
    </row>
    <row r="18" spans="1:35" s="8" customFormat="1" x14ac:dyDescent="0.15">
      <c r="B18" s="2"/>
      <c r="C18" s="2"/>
      <c r="D18" s="2"/>
      <c r="E18" s="2"/>
      <c r="F18" s="2"/>
      <c r="L18" s="8" t="s">
        <v>34</v>
      </c>
      <c r="Q18" s="284" t="str">
        <f>Q$2</f>
        <v>PGS</v>
      </c>
      <c r="U18" s="284" t="str">
        <f>U$2</f>
        <v>SO</v>
      </c>
      <c r="Y18" s="284" t="str">
        <f>Y$2</f>
        <v>Envelope</v>
      </c>
      <c r="AC18" s="73" t="str">
        <v/>
      </c>
      <c r="AD18" s="8">
        <v>0</v>
      </c>
      <c r="AE18" s="8">
        <v>0</v>
      </c>
      <c r="AF18" s="8">
        <v>0</v>
      </c>
      <c r="AG18" s="73" t="str">
        <v/>
      </c>
      <c r="AH18" s="273"/>
      <c r="AI18" s="273"/>
    </row>
    <row r="19" spans="1:35" s="8" customFormat="1" ht="42" x14ac:dyDescent="0.15">
      <c r="A19" s="261">
        <f>ROUNDDOWN(D14/20,0)</f>
        <v>0</v>
      </c>
      <c r="B19" s="251" t="s">
        <v>153</v>
      </c>
      <c r="C19" s="251" t="s">
        <v>154</v>
      </c>
      <c r="D19" s="251" t="s">
        <v>155</v>
      </c>
      <c r="E19" s="251" t="s">
        <v>156</v>
      </c>
      <c r="F19" s="2" t="s">
        <v>157</v>
      </c>
      <c r="G19" s="261"/>
      <c r="H19" s="261"/>
      <c r="I19" s="261"/>
      <c r="J19" s="261" t="s">
        <v>158</v>
      </c>
      <c r="K19" s="261"/>
      <c r="L19" s="285" t="s">
        <v>147</v>
      </c>
      <c r="M19" s="285" t="s">
        <v>148</v>
      </c>
      <c r="N19" s="262" t="s">
        <v>149</v>
      </c>
      <c r="O19" s="262" t="s">
        <v>159</v>
      </c>
      <c r="P19" s="261"/>
      <c r="Q19" s="262" t="s">
        <v>147</v>
      </c>
      <c r="R19" s="262" t="s">
        <v>148</v>
      </c>
      <c r="S19" s="262" t="s">
        <v>149</v>
      </c>
      <c r="T19" s="261"/>
      <c r="U19" s="262" t="s">
        <v>147</v>
      </c>
      <c r="V19" s="262" t="s">
        <v>148</v>
      </c>
      <c r="W19" s="262" t="s">
        <v>149</v>
      </c>
      <c r="X19" s="261"/>
      <c r="Y19" s="262" t="s">
        <v>147</v>
      </c>
      <c r="Z19" s="262" t="s">
        <v>148</v>
      </c>
      <c r="AA19" s="262" t="s">
        <v>149</v>
      </c>
      <c r="AC19" s="73" t="str">
        <v/>
      </c>
      <c r="AD19" s="8">
        <v>0</v>
      </c>
      <c r="AE19" s="8">
        <v>0</v>
      </c>
      <c r="AF19" s="8">
        <v>0</v>
      </c>
      <c r="AG19" s="73" t="str">
        <v/>
      </c>
      <c r="AH19" s="273"/>
      <c r="AI19" s="273"/>
    </row>
    <row r="20" spans="1:35" s="8" customFormat="1" x14ac:dyDescent="0.15">
      <c r="A20" s="8">
        <f>D14-A19*20</f>
        <v>0</v>
      </c>
      <c r="B20" s="281">
        <v>0</v>
      </c>
      <c r="C20" s="263"/>
      <c r="D20" s="264">
        <v>0</v>
      </c>
      <c r="E20" s="7">
        <v>0</v>
      </c>
      <c r="F20" s="282" t="e" vm="2">
        <f ca="1">E20/$E$40</f>
        <v>#VALUE!</v>
      </c>
      <c r="J20" s="265" t="s">
        <v>160</v>
      </c>
      <c r="L20" s="284">
        <f>COUNTIF(_xlfn.ANCHORARRAY($AF$1),$J20)</f>
        <v>0</v>
      </c>
      <c r="M20" s="286">
        <f>SUMIFS(_xlfn.ANCHORARRAY($AC$1),_xlfn.ANCHORARRAY($AF$1),$J20)</f>
        <v>0</v>
      </c>
      <c r="N20" s="34" t="e">
        <f>M20/$M$24</f>
        <v>#DIV/0!</v>
      </c>
      <c r="O20" s="266" t="e" cm="1">
        <f t="array" ref="O20">MEDIAN(IF(_xlfn.ANCHORARRAY($AF$1)=$J20,_xlfn.ANCHORARRAY($AG$1)))</f>
        <v>#NUM!</v>
      </c>
      <c r="Q20" s="284">
        <f>COUNTIFS(_xlfn.ANCHORARRAY($AF$1),$J20,_xlfn.ANCHORARRAY($AE$1),Calculations!Q$18)</f>
        <v>0</v>
      </c>
      <c r="R20" s="286">
        <f>SUMIFS(_xlfn.ANCHORARRAY($AC$1),_xlfn.ANCHORARRAY($AF$1),$J20,_xlfn.ANCHORARRAY($AE$1),Calculations!Q$18)</f>
        <v>0</v>
      </c>
      <c r="S20" s="34" t="e">
        <f>R20/$M$24</f>
        <v>#DIV/0!</v>
      </c>
      <c r="U20" s="284">
        <f>COUNTIFS(_xlfn.ANCHORARRAY($AF$1),$J20,_xlfn.ANCHORARRAY($AE$1),Calculations!U$18)</f>
        <v>0</v>
      </c>
      <c r="V20" s="286">
        <f>SUMIFS(_xlfn.ANCHORARRAY($AC$1),_xlfn.ANCHORARRAY($AF$1),$J20,_xlfn.ANCHORARRAY($AE$1),Calculations!U$18)</f>
        <v>0</v>
      </c>
      <c r="W20" s="34" t="e">
        <f>V20/$M$24</f>
        <v>#DIV/0!</v>
      </c>
      <c r="Y20" s="284">
        <f>COUNTIFS(_xlfn.ANCHORARRAY($AF$1),$J20,_xlfn.ANCHORARRAY($AE$1),Calculations!Y$18)</f>
        <v>0</v>
      </c>
      <c r="Z20" s="286">
        <f>SUMIFS(_xlfn.ANCHORARRAY($AC$1),_xlfn.ANCHORARRAY($AF$1),$J20,_xlfn.ANCHORARRAY($AE$1),Calculations!Y$18)</f>
        <v>0</v>
      </c>
      <c r="AA20" s="34" t="e">
        <f>Z20/$M$24</f>
        <v>#DIV/0!</v>
      </c>
      <c r="AC20" s="73" t="str">
        <v/>
      </c>
      <c r="AD20" s="8">
        <v>0</v>
      </c>
      <c r="AE20" s="8">
        <v>0</v>
      </c>
      <c r="AF20" s="8">
        <v>0</v>
      </c>
      <c r="AG20" s="73" t="str">
        <v/>
      </c>
      <c r="AH20" s="273"/>
      <c r="AI20" s="273"/>
    </row>
    <row r="21" spans="1:35" s="8" customFormat="1" x14ac:dyDescent="0.15">
      <c r="A21" s="8">
        <f>$A$19+IF(G21&lt;=$A$20,1,0)</f>
        <v>0</v>
      </c>
      <c r="B21" s="281">
        <f>B20+5%</f>
        <v>0.05</v>
      </c>
      <c r="C21" s="263">
        <f>SUM($A$21:A21)</f>
        <v>0</v>
      </c>
      <c r="D21" s="264" t="e">
        <f ca="1">LARGE($AC$3:OFFSET($AC$3,$D$14-1,0),C21-1)</f>
        <v>#NUM!</v>
      </c>
      <c r="E21" s="8" t="e" cm="1" vm="1">
        <f t="array" aca="1" ref="E21" ca="1">SUM(LARGE($AC$3:OFFSET($AC$3,$D$14-1,0),_xlfn.SEQUENCE(ROUND(C21,0))))</f>
        <v>#VALUE!</v>
      </c>
      <c r="F21" s="282" t="e" vm="2">
        <f t="shared" ref="F21:F40" ca="1" si="19">E21/$E$40</f>
        <v>#VALUE!</v>
      </c>
      <c r="G21" s="8">
        <v>1</v>
      </c>
      <c r="J21" s="265" t="s">
        <v>161</v>
      </c>
      <c r="L21" s="284">
        <f>COUNTIF(_xlfn.ANCHORARRAY($AF$1),$J21)</f>
        <v>0</v>
      </c>
      <c r="M21" s="286">
        <f t="shared" ref="M21:M23" si="20">SUMIFS(_xlfn.ANCHORARRAY($AC$1),_xlfn.ANCHORARRAY($AF$1),$J21)</f>
        <v>0</v>
      </c>
      <c r="N21" s="34" t="e">
        <f>M21/$M$24</f>
        <v>#DIV/0!</v>
      </c>
      <c r="O21" s="266" t="e" cm="1">
        <f t="array" ref="O21">MEDIAN(IF(_xlfn.ANCHORARRAY($AF$1)=$J21,_xlfn.ANCHORARRAY($AG$1)))</f>
        <v>#NUM!</v>
      </c>
      <c r="Q21" s="284">
        <f>COUNTIFS(_xlfn.ANCHORARRAY($AF$1),$J21,_xlfn.ANCHORARRAY($AE$1),Calculations!Q$18)</f>
        <v>0</v>
      </c>
      <c r="R21" s="286">
        <f>SUMIFS(_xlfn.ANCHORARRAY($AC$1),_xlfn.ANCHORARRAY($AF$1),$J21,_xlfn.ANCHORARRAY($AE$1),Calculations!Q$18)</f>
        <v>0</v>
      </c>
      <c r="S21" s="34" t="e">
        <f>R21/$M$24</f>
        <v>#DIV/0!</v>
      </c>
      <c r="U21" s="284">
        <f>COUNTIFS(_xlfn.ANCHORARRAY($AF$1),$J21,_xlfn.ANCHORARRAY($AE$1),Calculations!U$18)</f>
        <v>0</v>
      </c>
      <c r="V21" s="286">
        <f>SUMIFS(_xlfn.ANCHORARRAY($AC$1),_xlfn.ANCHORARRAY($AF$1),$J21,_xlfn.ANCHORARRAY($AE$1),Calculations!U$18)</f>
        <v>0</v>
      </c>
      <c r="W21" s="34" t="e">
        <f>V21/$M$24</f>
        <v>#DIV/0!</v>
      </c>
      <c r="Y21" s="284">
        <f>COUNTIFS(_xlfn.ANCHORARRAY($AF$1),$J21,_xlfn.ANCHORARRAY($AE$1),Calculations!Y$18)</f>
        <v>0</v>
      </c>
      <c r="Z21" s="286">
        <f>SUMIFS(_xlfn.ANCHORARRAY($AC$1),_xlfn.ANCHORARRAY($AF$1),$J21,_xlfn.ANCHORARRAY($AE$1),Calculations!Y$18)</f>
        <v>0</v>
      </c>
      <c r="AA21" s="34" t="e">
        <f>Z21/$M$24</f>
        <v>#DIV/0!</v>
      </c>
      <c r="AC21" s="73" t="str">
        <v/>
      </c>
      <c r="AD21" s="8">
        <v>0</v>
      </c>
      <c r="AE21" s="8">
        <v>0</v>
      </c>
      <c r="AF21" s="8">
        <v>0</v>
      </c>
      <c r="AG21" s="73" t="str">
        <v/>
      </c>
      <c r="AH21" s="273"/>
      <c r="AI21" s="273"/>
    </row>
    <row r="22" spans="1:35" s="8" customFormat="1" x14ac:dyDescent="0.15">
      <c r="A22" s="8">
        <f t="shared" ref="A22:A40" si="21">$A$19+IF(G22&lt;=$A$20,1,0)</f>
        <v>0</v>
      </c>
      <c r="B22" s="281">
        <f t="shared" ref="B22:B40" si="22">B21+5%</f>
        <v>0.1</v>
      </c>
      <c r="C22" s="263">
        <f>SUM($A$21:A22)</f>
        <v>0</v>
      </c>
      <c r="D22" s="264" t="e">
        <f ca="1">LARGE($AC$3:OFFSET($AC$3,$D$14-1,0),C22-1)</f>
        <v>#NUM!</v>
      </c>
      <c r="E22" s="8" t="e" cm="1" vm="1">
        <f t="array" aca="1" ref="E22" ca="1">SUM(LARGE($AC$3:OFFSET($AC$3,$D$14-1,0),_xlfn.SEQUENCE(ROUND(C22,0))))</f>
        <v>#VALUE!</v>
      </c>
      <c r="F22" s="282" t="e" vm="2">
        <f t="shared" ca="1" si="19"/>
        <v>#VALUE!</v>
      </c>
      <c r="G22" s="8">
        <v>2</v>
      </c>
      <c r="J22" s="265" t="s">
        <v>162</v>
      </c>
      <c r="L22" s="284">
        <f>COUNTIF(_xlfn.ANCHORARRAY($AF$1),$J22)</f>
        <v>0</v>
      </c>
      <c r="M22" s="286">
        <f t="shared" si="20"/>
        <v>0</v>
      </c>
      <c r="N22" s="34" t="e">
        <f>M22/$M$24</f>
        <v>#DIV/0!</v>
      </c>
      <c r="O22" s="266" t="e" cm="1">
        <f t="array" ref="O22">MEDIAN(IF(_xlfn.ANCHORARRAY($AF$1)=$J22,_xlfn.ANCHORARRAY($AG$1)))</f>
        <v>#NUM!</v>
      </c>
      <c r="Q22" s="284">
        <f>COUNTIFS(_xlfn.ANCHORARRAY($AF$1),$J22,_xlfn.ANCHORARRAY($AE$1),Calculations!Q$18)</f>
        <v>0</v>
      </c>
      <c r="R22" s="286">
        <f>SUMIFS(_xlfn.ANCHORARRAY($AC$1),_xlfn.ANCHORARRAY($AF$1),$J22,_xlfn.ANCHORARRAY($AE$1),Calculations!Q$18)</f>
        <v>0</v>
      </c>
      <c r="S22" s="34" t="e">
        <f>R22/$M$24</f>
        <v>#DIV/0!</v>
      </c>
      <c r="U22" s="284">
        <f>COUNTIFS(_xlfn.ANCHORARRAY($AF$1),$J22,_xlfn.ANCHORARRAY($AE$1),Calculations!U$18)</f>
        <v>0</v>
      </c>
      <c r="V22" s="286">
        <f>SUMIFS(_xlfn.ANCHORARRAY($AC$1),_xlfn.ANCHORARRAY($AF$1),$J22,_xlfn.ANCHORARRAY($AE$1),Calculations!U$18)</f>
        <v>0</v>
      </c>
      <c r="W22" s="34" t="e">
        <f>V22/$M$24</f>
        <v>#DIV/0!</v>
      </c>
      <c r="Y22" s="284">
        <f>COUNTIFS(_xlfn.ANCHORARRAY($AF$1),$J22,_xlfn.ANCHORARRAY($AE$1),Calculations!Y$18)</f>
        <v>0</v>
      </c>
      <c r="Z22" s="286">
        <f>SUMIFS(_xlfn.ANCHORARRAY($AC$1),_xlfn.ANCHORARRAY($AF$1),$J22,_xlfn.ANCHORARRAY($AE$1),Calculations!Y$18)</f>
        <v>0</v>
      </c>
      <c r="AA22" s="34" t="e">
        <f>Z22/$M$24</f>
        <v>#DIV/0!</v>
      </c>
      <c r="AC22" s="73" t="str">
        <v/>
      </c>
      <c r="AD22" s="8">
        <v>0</v>
      </c>
      <c r="AE22" s="8">
        <v>0</v>
      </c>
      <c r="AF22" s="8">
        <v>0</v>
      </c>
      <c r="AG22" s="73" t="str">
        <v/>
      </c>
      <c r="AH22" s="273"/>
      <c r="AI22" s="273"/>
    </row>
    <row r="23" spans="1:35" s="8" customFormat="1" x14ac:dyDescent="0.15">
      <c r="A23" s="8">
        <f t="shared" si="21"/>
        <v>0</v>
      </c>
      <c r="B23" s="281">
        <f t="shared" si="22"/>
        <v>0.15000000000000002</v>
      </c>
      <c r="C23" s="263">
        <f>SUM($A$21:A23)</f>
        <v>0</v>
      </c>
      <c r="D23" s="264" t="e">
        <f ca="1">LARGE($AC$3:OFFSET($AC$3,$D$14-1,0),C23-1)</f>
        <v>#NUM!</v>
      </c>
      <c r="E23" s="8" t="e" cm="1" vm="1">
        <f t="array" aca="1" ref="E23" ca="1">SUM(LARGE($AC$3:OFFSET($AC$3,$D$14-1,0),_xlfn.SEQUENCE(ROUND(C23,0))))</f>
        <v>#VALUE!</v>
      </c>
      <c r="F23" s="282" t="e" vm="2">
        <f t="shared" ca="1" si="19"/>
        <v>#VALUE!</v>
      </c>
      <c r="G23" s="8">
        <v>3</v>
      </c>
      <c r="I23" s="9"/>
      <c r="J23" s="32" t="s">
        <v>163</v>
      </c>
      <c r="L23" s="284">
        <f>COUNTIF(_xlfn.ANCHORARRAY($AF$1),$J23)</f>
        <v>0</v>
      </c>
      <c r="M23" s="286">
        <f t="shared" si="20"/>
        <v>0</v>
      </c>
      <c r="N23" s="34" t="e">
        <f>M23/$M$24</f>
        <v>#DIV/0!</v>
      </c>
      <c r="O23" s="266" t="e" cm="1">
        <f t="array" ref="O23">MEDIAN(IF(_xlfn.ANCHORARRAY($AF$1)=$J23,_xlfn.ANCHORARRAY($AG$1)))</f>
        <v>#NUM!</v>
      </c>
      <c r="P23" s="9"/>
      <c r="Q23" s="284">
        <f>COUNTIFS(_xlfn.ANCHORARRAY($AF$1),$J23,_xlfn.ANCHORARRAY($AE$1),Calculations!Q$18)</f>
        <v>0</v>
      </c>
      <c r="R23" s="286">
        <f>SUMIFS(_xlfn.ANCHORARRAY($AC$1),_xlfn.ANCHORARRAY($AF$1),$J23,_xlfn.ANCHORARRAY($AE$1),Calculations!Q$18)</f>
        <v>0</v>
      </c>
      <c r="S23" s="34" t="e">
        <f>R23/$M$24</f>
        <v>#DIV/0!</v>
      </c>
      <c r="T23" s="9"/>
      <c r="U23" s="284">
        <f>COUNTIFS(_xlfn.ANCHORARRAY($AF$1),$J23,_xlfn.ANCHORARRAY($AE$1),Calculations!U$18)</f>
        <v>0</v>
      </c>
      <c r="V23" s="286">
        <f>SUMIFS(_xlfn.ANCHORARRAY($AC$1),_xlfn.ANCHORARRAY($AF$1),$J23,_xlfn.ANCHORARRAY($AE$1),Calculations!U$18)</f>
        <v>0</v>
      </c>
      <c r="W23" s="34" t="e">
        <f>V23/$M$24</f>
        <v>#DIV/0!</v>
      </c>
      <c r="X23" s="9"/>
      <c r="Y23" s="284">
        <f>COUNTIFS(_xlfn.ANCHORARRAY($AF$1),$J23,_xlfn.ANCHORARRAY($AE$1),Calculations!Y$18)</f>
        <v>0</v>
      </c>
      <c r="Z23" s="286">
        <f>SUMIFS(_xlfn.ANCHORARRAY($AC$1),_xlfn.ANCHORARRAY($AF$1),$J23,_xlfn.ANCHORARRAY($AE$1),Calculations!Y$18)</f>
        <v>0</v>
      </c>
      <c r="AA23" s="34" t="e">
        <f>Z23/$M$24</f>
        <v>#DIV/0!</v>
      </c>
      <c r="AC23" s="73" t="str">
        <v/>
      </c>
      <c r="AD23" s="8">
        <v>0</v>
      </c>
      <c r="AE23" s="8">
        <v>0</v>
      </c>
      <c r="AF23" s="8">
        <v>0</v>
      </c>
      <c r="AG23" s="73" t="str">
        <v/>
      </c>
      <c r="AH23" s="273"/>
      <c r="AI23" s="273"/>
    </row>
    <row r="24" spans="1:35" s="8" customFormat="1" x14ac:dyDescent="0.15">
      <c r="A24" s="8">
        <f t="shared" si="21"/>
        <v>0</v>
      </c>
      <c r="B24" s="281">
        <f t="shared" si="22"/>
        <v>0.2</v>
      </c>
      <c r="C24" s="263">
        <f>SUM($A$21:A24)</f>
        <v>0</v>
      </c>
      <c r="D24" s="264" t="e">
        <f ca="1">LARGE($AC$3:OFFSET($AC$3,$D$14-1,0),C24-1)</f>
        <v>#NUM!</v>
      </c>
      <c r="E24" s="8" t="e" cm="1" vm="1">
        <f t="array" aca="1" ref="E24" ca="1">SUM(LARGE($AC$3:OFFSET($AC$3,$D$14-1,0),_xlfn.SEQUENCE(ROUND(C24,0))))</f>
        <v>#VALUE!</v>
      </c>
      <c r="F24" s="282" t="e" vm="2">
        <f t="shared" ca="1" si="19"/>
        <v>#VALUE!</v>
      </c>
      <c r="G24" s="8">
        <v>4</v>
      </c>
      <c r="I24" s="9"/>
      <c r="J24" s="32"/>
      <c r="L24" s="267">
        <f>Q24+U24+Y24</f>
        <v>0</v>
      </c>
      <c r="M24" s="268">
        <f>R24+V24+Z24</f>
        <v>0</v>
      </c>
      <c r="N24" s="13">
        <v>1</v>
      </c>
      <c r="O24" s="13"/>
      <c r="P24" s="9"/>
      <c r="Q24" s="267">
        <f>COUNTIF($AE:$AE,Q18)</f>
        <v>0</v>
      </c>
      <c r="R24" s="268">
        <f>SUMIFS($AC:$AC,$AE:$AE,Q18)</f>
        <v>0</v>
      </c>
      <c r="S24" s="34" t="e">
        <f>R24/$M$24</f>
        <v>#DIV/0!</v>
      </c>
      <c r="T24" s="9"/>
      <c r="U24" s="267">
        <f>COUNTIF($AE:$AE,U18)</f>
        <v>0</v>
      </c>
      <c r="V24" s="268">
        <f>SUMIFS($AC:$AC,$AE:$AE,U18)</f>
        <v>0</v>
      </c>
      <c r="W24" s="34" t="e">
        <f>V24/$M$24</f>
        <v>#DIV/0!</v>
      </c>
      <c r="X24" s="9"/>
      <c r="Y24" s="267">
        <f>COUNTIF($AE:$AE,Y18)</f>
        <v>0</v>
      </c>
      <c r="Z24" s="268">
        <f>SUMIFS($AC:$AC,$AE:$AE,Y18)</f>
        <v>0</v>
      </c>
      <c r="AA24" s="34" t="e">
        <f>Z24/$M$24</f>
        <v>#DIV/0!</v>
      </c>
      <c r="AC24" s="73" t="str">
        <v/>
      </c>
      <c r="AD24" s="8">
        <v>0</v>
      </c>
      <c r="AE24" s="8">
        <v>0</v>
      </c>
      <c r="AF24" s="8">
        <v>0</v>
      </c>
      <c r="AG24" s="73" t="str">
        <v/>
      </c>
      <c r="AH24" s="273"/>
      <c r="AI24" s="273"/>
    </row>
    <row r="25" spans="1:35" s="8" customFormat="1" x14ac:dyDescent="0.15">
      <c r="A25" s="8">
        <f t="shared" si="21"/>
        <v>0</v>
      </c>
      <c r="B25" s="281">
        <f t="shared" si="22"/>
        <v>0.25</v>
      </c>
      <c r="C25" s="263">
        <f>SUM($A$21:A25)</f>
        <v>0</v>
      </c>
      <c r="D25" s="264" t="e">
        <f ca="1">LARGE($AC$3:OFFSET($AC$3,$D$14-1,0),C25-1)</f>
        <v>#NUM!</v>
      </c>
      <c r="E25" s="8" t="e" cm="1" vm="1">
        <f t="array" aca="1" ref="E25" ca="1">SUM(LARGE($AC$3:OFFSET($AC$3,$D$14-1,0),_xlfn.SEQUENCE(ROUND(C25,0))))</f>
        <v>#VALUE!</v>
      </c>
      <c r="F25" s="282" t="e" vm="2">
        <f t="shared" ca="1" si="19"/>
        <v>#VALUE!</v>
      </c>
      <c r="G25" s="8">
        <v>5</v>
      </c>
      <c r="I25" s="9"/>
      <c r="J25" s="32"/>
      <c r="L25" s="9"/>
      <c r="M25" s="11"/>
      <c r="N25" s="13"/>
      <c r="O25" s="13"/>
      <c r="P25" s="9"/>
      <c r="Q25" s="30"/>
      <c r="R25" s="11"/>
      <c r="S25" s="10"/>
      <c r="T25" s="9"/>
      <c r="U25" s="30"/>
      <c r="V25" s="11"/>
      <c r="W25" s="10"/>
      <c r="X25" s="9"/>
      <c r="Y25" s="30"/>
      <c r="Z25" s="11"/>
      <c r="AA25" s="10"/>
      <c r="AC25" s="73" t="str">
        <v/>
      </c>
      <c r="AD25" s="8">
        <v>0</v>
      </c>
      <c r="AE25" s="8">
        <v>0</v>
      </c>
      <c r="AF25" s="8">
        <v>0</v>
      </c>
      <c r="AG25" s="73" t="str">
        <v/>
      </c>
      <c r="AH25" s="273"/>
      <c r="AI25" s="273"/>
    </row>
    <row r="26" spans="1:35" s="8" customFormat="1" x14ac:dyDescent="0.15">
      <c r="A26" s="8">
        <f t="shared" si="21"/>
        <v>0</v>
      </c>
      <c r="B26" s="281">
        <f t="shared" si="22"/>
        <v>0.3</v>
      </c>
      <c r="C26" s="263">
        <f>SUM($A$21:A26)</f>
        <v>0</v>
      </c>
      <c r="D26" s="264" t="e">
        <f ca="1">LARGE($AC$3:OFFSET($AC$3,$D$14-1,0),C26-1)</f>
        <v>#NUM!</v>
      </c>
      <c r="E26" s="8" t="e" cm="1" vm="1">
        <f t="array" aca="1" ref="E26" ca="1">SUM(LARGE($AC$3:OFFSET($AC$3,$D$14-1,0),_xlfn.SEQUENCE(ROUND(C26,0))))</f>
        <v>#VALUE!</v>
      </c>
      <c r="F26" s="282" t="e" vm="2">
        <f t="shared" ca="1" si="19"/>
        <v>#VALUE!</v>
      </c>
      <c r="G26" s="8">
        <v>6</v>
      </c>
      <c r="I26" s="9"/>
      <c r="J26" s="32"/>
      <c r="L26" s="9"/>
      <c r="N26" s="9"/>
      <c r="O26" s="9"/>
      <c r="P26" s="9"/>
      <c r="Q26" s="9"/>
      <c r="S26" s="9"/>
      <c r="T26" s="9"/>
      <c r="U26" s="9"/>
      <c r="W26" s="9"/>
      <c r="X26" s="9"/>
      <c r="Y26" s="9"/>
      <c r="AA26" s="9"/>
      <c r="AC26" s="73" t="str">
        <v/>
      </c>
      <c r="AD26" s="8">
        <v>0</v>
      </c>
      <c r="AE26" s="8">
        <v>0</v>
      </c>
      <c r="AF26" s="8">
        <v>0</v>
      </c>
      <c r="AG26" s="73" t="str">
        <v/>
      </c>
      <c r="AH26" s="273"/>
      <c r="AI26" s="273"/>
    </row>
    <row r="27" spans="1:35" s="8" customFormat="1" x14ac:dyDescent="0.15">
      <c r="A27" s="8">
        <f t="shared" si="21"/>
        <v>0</v>
      </c>
      <c r="B27" s="281">
        <f t="shared" si="22"/>
        <v>0.35</v>
      </c>
      <c r="C27" s="263">
        <f>SUM($A$21:A27)</f>
        <v>0</v>
      </c>
      <c r="D27" s="264" t="e">
        <f ca="1">LARGE($AC$3:OFFSET($AC$3,$D$14-1,0),C27-1)</f>
        <v>#NUM!</v>
      </c>
      <c r="E27" s="8" t="e" cm="1" vm="1">
        <f t="array" aca="1" ref="E27" ca="1">SUM(LARGE($AC$3:OFFSET($AC$3,$D$14-1,0),_xlfn.SEQUENCE(ROUND(C27,0))))</f>
        <v>#VALUE!</v>
      </c>
      <c r="F27" s="282" t="e" vm="2">
        <f t="shared" ca="1" si="19"/>
        <v>#VALUE!</v>
      </c>
      <c r="G27" s="8">
        <v>7</v>
      </c>
      <c r="I27" s="9"/>
      <c r="J27" s="32"/>
      <c r="L27" s="8" t="s">
        <v>34</v>
      </c>
      <c r="M27" s="8" t="s">
        <v>142</v>
      </c>
      <c r="P27" s="9"/>
      <c r="Q27" s="8" t="str">
        <f>Q$2</f>
        <v>PGS</v>
      </c>
      <c r="R27" s="8" t="s">
        <v>142</v>
      </c>
      <c r="U27" s="8" t="str">
        <f>U$2</f>
        <v>SO</v>
      </c>
      <c r="V27" s="8" t="s">
        <v>142</v>
      </c>
      <c r="Y27" s="8" t="str">
        <f>Y$2</f>
        <v>Envelope</v>
      </c>
      <c r="Z27" s="8" t="s">
        <v>142</v>
      </c>
      <c r="AC27" s="73" t="str">
        <v/>
      </c>
      <c r="AD27" s="8">
        <v>0</v>
      </c>
      <c r="AE27" s="8">
        <v>0</v>
      </c>
      <c r="AF27" s="8">
        <v>0</v>
      </c>
      <c r="AG27" s="73" t="str">
        <v/>
      </c>
      <c r="AH27" s="273"/>
      <c r="AI27" s="273"/>
    </row>
    <row r="28" spans="1:35" s="8" customFormat="1" ht="26" x14ac:dyDescent="0.15">
      <c r="A28" s="8">
        <f t="shared" si="21"/>
        <v>0</v>
      </c>
      <c r="B28" s="281">
        <f t="shared" si="22"/>
        <v>0.39999999999999997</v>
      </c>
      <c r="C28" s="263">
        <f>SUM($A$21:A28)</f>
        <v>0</v>
      </c>
      <c r="D28" s="264" t="e">
        <f ca="1">LARGE($AC$3:OFFSET($AC$3,$D$14-1,0),C28-1)</f>
        <v>#NUM!</v>
      </c>
      <c r="E28" s="8" t="e" cm="1" vm="1">
        <f t="array" aca="1" ref="E28" ca="1">SUM(LARGE($AC$3:OFFSET($AC$3,$D$14-1,0),_xlfn.SEQUENCE(ROUND(C28,0))))</f>
        <v>#VALUE!</v>
      </c>
      <c r="F28" s="282" t="e" vm="2">
        <f t="shared" ca="1" si="19"/>
        <v>#VALUE!</v>
      </c>
      <c r="G28" s="8">
        <v>8</v>
      </c>
      <c r="I28" s="9"/>
      <c r="J28" s="32"/>
      <c r="L28" s="262" t="s">
        <v>147</v>
      </c>
      <c r="M28" s="262" t="s">
        <v>148</v>
      </c>
      <c r="N28" s="262" t="s">
        <v>149</v>
      </c>
      <c r="O28" s="269"/>
      <c r="P28" s="9"/>
      <c r="Q28" s="262" t="s">
        <v>147</v>
      </c>
      <c r="R28" s="262" t="s">
        <v>148</v>
      </c>
      <c r="S28" s="262" t="s">
        <v>149</v>
      </c>
      <c r="T28" s="261"/>
      <c r="U28" s="262" t="s">
        <v>147</v>
      </c>
      <c r="V28" s="262" t="s">
        <v>148</v>
      </c>
      <c r="W28" s="262" t="s">
        <v>149</v>
      </c>
      <c r="X28" s="261"/>
      <c r="Y28" s="262" t="s">
        <v>147</v>
      </c>
      <c r="Z28" s="262" t="s">
        <v>148</v>
      </c>
      <c r="AA28" s="262" t="s">
        <v>149</v>
      </c>
      <c r="AC28" s="73" t="str">
        <v/>
      </c>
      <c r="AD28" s="8">
        <v>0</v>
      </c>
      <c r="AE28" s="8">
        <v>0</v>
      </c>
      <c r="AF28" s="8">
        <v>0</v>
      </c>
      <c r="AG28" s="73" t="str">
        <v/>
      </c>
      <c r="AH28" s="273"/>
      <c r="AI28" s="273"/>
    </row>
    <row r="29" spans="1:35" s="8" customFormat="1" x14ac:dyDescent="0.15">
      <c r="A29" s="8">
        <f t="shared" si="21"/>
        <v>0</v>
      </c>
      <c r="B29" s="281">
        <f t="shared" si="22"/>
        <v>0.44999999999999996</v>
      </c>
      <c r="C29" s="263">
        <f>SUM($A$21:A29)</f>
        <v>0</v>
      </c>
      <c r="D29" s="264" t="e">
        <f ca="1">LARGE($AC$3:OFFSET($AC$3,$D$14-1,0),C29-1)</f>
        <v>#NUM!</v>
      </c>
      <c r="E29" s="8" t="e" cm="1" vm="1">
        <f t="array" aca="1" ref="E29" ca="1">SUM(LARGE($AC$3:OFFSET($AC$3,$D$14-1,0),_xlfn.SEQUENCE(ROUND(C29,0))))</f>
        <v>#VALUE!</v>
      </c>
      <c r="F29" s="282" t="e" vm="2">
        <f t="shared" ca="1" si="19"/>
        <v>#VALUE!</v>
      </c>
      <c r="G29" s="8">
        <v>9</v>
      </c>
      <c r="I29" s="9"/>
      <c r="J29" s="265" t="s">
        <v>160</v>
      </c>
      <c r="L29" s="8">
        <f>COUNTIFS(_xlfn.ANCHORARRAY($AF$1),$J29,_xlfn.ANCHORARRAY($AD$1),"Yes")</f>
        <v>0</v>
      </c>
      <c r="M29" s="11">
        <f>SUMIFS(_xlfn.ANCHORARRAY($AC$1),_xlfn.ANCHORARRAY($AF$1),$J29,_xlfn.ANCHORARRAY($AD$1),"Yes")</f>
        <v>0</v>
      </c>
      <c r="N29" s="34" t="e">
        <f>M29/$M$24</f>
        <v>#DIV/0!</v>
      </c>
      <c r="O29" s="33"/>
      <c r="Q29" s="8">
        <f>COUNTIFS(_xlfn.ANCHORARRAY($AF$1),$J29,_xlfn.ANCHORARRAY($AE$1),Q$18,_xlfn.ANCHORARRAY($AD$1),"Yes")</f>
        <v>0</v>
      </c>
      <c r="R29" s="11">
        <f>SUMIFS(_xlfn.ANCHORARRAY($AC$1),_xlfn.ANCHORARRAY($AF$1),$J29,_xlfn.ANCHORARRAY($AE$1),Q$18,_xlfn.ANCHORARRAY($AD$1),"Yes")</f>
        <v>0</v>
      </c>
      <c r="S29" s="34" t="e">
        <f>R29/$M$24</f>
        <v>#DIV/0!</v>
      </c>
      <c r="U29" s="8">
        <f>COUNTIFS(_xlfn.ANCHORARRAY($AF$1),$J29,_xlfn.ANCHORARRAY($AE$1),U$18,_xlfn.ANCHORARRAY($AD$1),"Yes")</f>
        <v>0</v>
      </c>
      <c r="V29" s="11">
        <f>SUMIFS(_xlfn.ANCHORARRAY($AC$1),_xlfn.ANCHORARRAY($AF$1),$J29,_xlfn.ANCHORARRAY($AE$1),U$18,_xlfn.ANCHORARRAY($AD$1),"Yes")</f>
        <v>0</v>
      </c>
      <c r="W29" s="34" t="e">
        <f>V29/$M$24</f>
        <v>#DIV/0!</v>
      </c>
      <c r="Y29" s="8">
        <f>COUNTIFS(_xlfn.ANCHORARRAY($AF$1),$J29,_xlfn.ANCHORARRAY($AE$1),Y$18,_xlfn.ANCHORARRAY($AD$1),"Yes")</f>
        <v>0</v>
      </c>
      <c r="Z29" s="11">
        <f>SUMIFS(_xlfn.ANCHORARRAY($AC$1),_xlfn.ANCHORARRAY($AF$1),$J29,_xlfn.ANCHORARRAY($AE$1),Y$18,_xlfn.ANCHORARRAY($AD$1),"Yes")</f>
        <v>0</v>
      </c>
      <c r="AA29" s="34" t="e">
        <f>Z29/$M$24</f>
        <v>#DIV/0!</v>
      </c>
      <c r="AC29" s="73" t="str">
        <v/>
      </c>
      <c r="AD29" s="8">
        <v>0</v>
      </c>
      <c r="AE29" s="8">
        <v>0</v>
      </c>
      <c r="AF29" s="8">
        <v>0</v>
      </c>
      <c r="AG29" s="73" t="str">
        <v/>
      </c>
      <c r="AH29" s="273"/>
      <c r="AI29" s="273"/>
    </row>
    <row r="30" spans="1:35" s="8" customFormat="1" x14ac:dyDescent="0.15">
      <c r="A30" s="8">
        <f t="shared" si="21"/>
        <v>0</v>
      </c>
      <c r="B30" s="281">
        <f t="shared" si="22"/>
        <v>0.49999999999999994</v>
      </c>
      <c r="C30" s="263">
        <f>SUM($A$21:A30)</f>
        <v>0</v>
      </c>
      <c r="D30" s="264" t="e">
        <f ca="1">LARGE($AC$3:OFFSET($AC$3,$D$14-1,0),C30-1)</f>
        <v>#NUM!</v>
      </c>
      <c r="E30" s="8" t="e" cm="1" vm="1">
        <f t="array" aca="1" ref="E30" ca="1">SUM(LARGE($AC$3:OFFSET($AC$3,$D$14-1,0),_xlfn.SEQUENCE(ROUND(C30,0))))</f>
        <v>#VALUE!</v>
      </c>
      <c r="F30" s="282" t="e" vm="2">
        <f t="shared" ca="1" si="19"/>
        <v>#VALUE!</v>
      </c>
      <c r="G30" s="8">
        <v>10</v>
      </c>
      <c r="I30" s="9"/>
      <c r="J30" s="265" t="s">
        <v>161</v>
      </c>
      <c r="L30" s="8">
        <f t="shared" ref="L30:L32" si="23">COUNTIFS(_xlfn.ANCHORARRAY($AF$1),$J30,_xlfn.ANCHORARRAY($AD$1),"Yes")</f>
        <v>0</v>
      </c>
      <c r="M30" s="11">
        <f t="shared" ref="M30:M32" si="24">SUMIFS(_xlfn.ANCHORARRAY($AC$1),_xlfn.ANCHORARRAY($AF$1),$J30,_xlfn.ANCHORARRAY($AD$1),"Yes")</f>
        <v>0</v>
      </c>
      <c r="N30" s="34" t="e">
        <f>M30/$M$24</f>
        <v>#DIV/0!</v>
      </c>
      <c r="O30" s="33"/>
      <c r="Q30" s="8">
        <f t="shared" ref="Q30:Q32" si="25">COUNTIFS(_xlfn.ANCHORARRAY($AF$1),$J30,_xlfn.ANCHORARRAY($AE$1),Q$18,_xlfn.ANCHORARRAY($AD$1),"Yes")</f>
        <v>0</v>
      </c>
      <c r="R30" s="11">
        <f t="shared" ref="R30:R32" si="26">SUMIFS(_xlfn.ANCHORARRAY($AC$1),_xlfn.ANCHORARRAY($AF$1),$J30,_xlfn.ANCHORARRAY($AE$1),Q$18,_xlfn.ANCHORARRAY($AD$1),"Yes")</f>
        <v>0</v>
      </c>
      <c r="S30" s="34" t="e">
        <f>R30/$M$24</f>
        <v>#DIV/0!</v>
      </c>
      <c r="U30" s="8">
        <f t="shared" ref="U30:U32" si="27">COUNTIFS(_xlfn.ANCHORARRAY($AF$1),$J30,_xlfn.ANCHORARRAY($AE$1),U$18,_xlfn.ANCHORARRAY($AD$1),"Yes")</f>
        <v>0</v>
      </c>
      <c r="V30" s="11">
        <f t="shared" ref="V30:V32" si="28">SUMIFS(_xlfn.ANCHORARRAY($AC$1),_xlfn.ANCHORARRAY($AF$1),$J30,_xlfn.ANCHORARRAY($AE$1),U$18,_xlfn.ANCHORARRAY($AD$1),"Yes")</f>
        <v>0</v>
      </c>
      <c r="W30" s="34" t="e">
        <f>V30/$M$24</f>
        <v>#DIV/0!</v>
      </c>
      <c r="Y30" s="8">
        <f t="shared" ref="Y30:Y32" si="29">COUNTIFS(_xlfn.ANCHORARRAY($AF$1),$J30,_xlfn.ANCHORARRAY($AE$1),Y$18,_xlfn.ANCHORARRAY($AD$1),"Yes")</f>
        <v>0</v>
      </c>
      <c r="Z30" s="11">
        <f t="shared" ref="Z30:Z32" si="30">SUMIFS(_xlfn.ANCHORARRAY($AC$1),_xlfn.ANCHORARRAY($AF$1),$J30,_xlfn.ANCHORARRAY($AE$1),Y$18,_xlfn.ANCHORARRAY($AD$1),"Yes")</f>
        <v>0</v>
      </c>
      <c r="AA30" s="34" t="e">
        <f>Z30/$M$24</f>
        <v>#DIV/0!</v>
      </c>
      <c r="AC30" s="73" t="str">
        <v/>
      </c>
      <c r="AD30" s="8">
        <v>0</v>
      </c>
      <c r="AE30" s="8">
        <v>0</v>
      </c>
      <c r="AF30" s="8">
        <v>0</v>
      </c>
      <c r="AG30" s="73" t="str">
        <v/>
      </c>
      <c r="AH30" s="273"/>
      <c r="AI30" s="273"/>
    </row>
    <row r="31" spans="1:35" s="8" customFormat="1" ht="14" x14ac:dyDescent="0.15">
      <c r="A31" s="8">
        <f t="shared" si="21"/>
        <v>0</v>
      </c>
      <c r="B31" s="281">
        <f t="shared" si="22"/>
        <v>0.54999999999999993</v>
      </c>
      <c r="C31" s="263">
        <f>SUM($A$21:A31)</f>
        <v>0</v>
      </c>
      <c r="D31" s="264" t="e">
        <f ca="1">LARGE($AC$3:OFFSET($AC$3,$D$14-1,0),C31-1)</f>
        <v>#NUM!</v>
      </c>
      <c r="E31" s="8" t="e" cm="1" vm="1">
        <f t="array" aca="1" ref="E31" ca="1">SUM(LARGE($AC$3:OFFSET($AC$3,$D$14-1,0),_xlfn.SEQUENCE(ROUND(C31,0))))</f>
        <v>#VALUE!</v>
      </c>
      <c r="F31" s="282" t="e" vm="2">
        <f t="shared" ca="1" si="19"/>
        <v>#VALUE!</v>
      </c>
      <c r="G31" s="8">
        <v>11</v>
      </c>
      <c r="I31" s="270"/>
      <c r="J31" s="265" t="s">
        <v>162</v>
      </c>
      <c r="L31" s="8">
        <f t="shared" si="23"/>
        <v>0</v>
      </c>
      <c r="M31" s="11">
        <f t="shared" si="24"/>
        <v>0</v>
      </c>
      <c r="N31" s="34" t="e">
        <f>M31/$M$24</f>
        <v>#DIV/0!</v>
      </c>
      <c r="O31" s="33"/>
      <c r="Q31" s="8">
        <f t="shared" si="25"/>
        <v>0</v>
      </c>
      <c r="R31" s="11">
        <f t="shared" si="26"/>
        <v>0</v>
      </c>
      <c r="S31" s="34" t="e">
        <f>R31/$M$24</f>
        <v>#DIV/0!</v>
      </c>
      <c r="U31" s="8">
        <f t="shared" si="27"/>
        <v>0</v>
      </c>
      <c r="V31" s="11">
        <f t="shared" si="28"/>
        <v>0</v>
      </c>
      <c r="W31" s="34" t="e">
        <f>V31/$M$24</f>
        <v>#DIV/0!</v>
      </c>
      <c r="Y31" s="8">
        <f t="shared" si="29"/>
        <v>0</v>
      </c>
      <c r="Z31" s="11">
        <f t="shared" si="30"/>
        <v>0</v>
      </c>
      <c r="AA31" s="34" t="e">
        <f>Z31/$M$24</f>
        <v>#DIV/0!</v>
      </c>
      <c r="AC31" s="73" t="str">
        <v/>
      </c>
      <c r="AD31" s="8">
        <v>0</v>
      </c>
      <c r="AE31" s="8">
        <v>0</v>
      </c>
      <c r="AF31" s="8">
        <v>0</v>
      </c>
      <c r="AG31" s="73" t="str">
        <v/>
      </c>
      <c r="AH31" s="273"/>
      <c r="AI31" s="273"/>
    </row>
    <row r="32" spans="1:35" x14ac:dyDescent="0.15">
      <c r="A32" s="8">
        <f t="shared" si="21"/>
        <v>0</v>
      </c>
      <c r="B32" s="281">
        <f t="shared" si="22"/>
        <v>0.6</v>
      </c>
      <c r="C32" s="263">
        <f>SUM($A$21:A32)</f>
        <v>0</v>
      </c>
      <c r="D32" s="264" t="e">
        <f ca="1">LARGE($AC$3:OFFSET($AC$3,$D$14-1,0),C32-1)</f>
        <v>#NUM!</v>
      </c>
      <c r="E32" s="8" t="e" cm="1" vm="1">
        <f t="array" aca="1" ref="E32" ca="1">SUM(LARGE($AC$3:OFFSET($AC$3,$D$14-1,0),_xlfn.SEQUENCE(ROUND(C32,0))))</f>
        <v>#VALUE!</v>
      </c>
      <c r="F32" s="282" t="e" vm="2">
        <f t="shared" ca="1" si="19"/>
        <v>#VALUE!</v>
      </c>
      <c r="G32" s="8">
        <v>12</v>
      </c>
      <c r="J32" s="32" t="s">
        <v>163</v>
      </c>
      <c r="L32" s="8">
        <f t="shared" si="23"/>
        <v>0</v>
      </c>
      <c r="M32" s="11">
        <f t="shared" si="24"/>
        <v>0</v>
      </c>
      <c r="N32" s="34" t="e">
        <f>M32/$M$24</f>
        <v>#DIV/0!</v>
      </c>
      <c r="O32" s="33"/>
      <c r="P32" s="8"/>
      <c r="Q32" s="8">
        <f t="shared" si="25"/>
        <v>0</v>
      </c>
      <c r="R32" s="11">
        <f t="shared" si="26"/>
        <v>0</v>
      </c>
      <c r="S32" s="34" t="e">
        <f>R32/$M$24</f>
        <v>#DIV/0!</v>
      </c>
      <c r="T32" s="9"/>
      <c r="U32" s="8">
        <f t="shared" si="27"/>
        <v>0</v>
      </c>
      <c r="V32" s="11">
        <f t="shared" si="28"/>
        <v>0</v>
      </c>
      <c r="W32" s="34" t="e">
        <f>V32/$M$24</f>
        <v>#DIV/0!</v>
      </c>
      <c r="X32" s="9"/>
      <c r="Y32" s="8">
        <f t="shared" si="29"/>
        <v>0</v>
      </c>
      <c r="Z32" s="11">
        <f t="shared" si="30"/>
        <v>0</v>
      </c>
      <c r="AA32" s="34" t="e">
        <f>Z32/$M$24</f>
        <v>#DIV/0!</v>
      </c>
      <c r="AC32" s="74" t="str">
        <v/>
      </c>
      <c r="AD32" s="2">
        <v>0</v>
      </c>
      <c r="AE32" s="2">
        <v>0</v>
      </c>
      <c r="AF32" s="2">
        <v>0</v>
      </c>
      <c r="AG32" s="74" t="str">
        <v/>
      </c>
    </row>
    <row r="33" spans="1:33" x14ac:dyDescent="0.15">
      <c r="A33" s="8">
        <f t="shared" si="21"/>
        <v>0</v>
      </c>
      <c r="B33" s="281">
        <f t="shared" si="22"/>
        <v>0.65</v>
      </c>
      <c r="C33" s="263">
        <f>SUM($A$21:A33)</f>
        <v>0</v>
      </c>
      <c r="D33" s="264" t="e">
        <f ca="1">LARGE($AC$3:OFFSET($AC$3,$D$14-1,0),C33-1)</f>
        <v>#NUM!</v>
      </c>
      <c r="E33" s="8" t="e" cm="1" vm="1">
        <f t="array" aca="1" ref="E33" ca="1">SUM(LARGE($AC$3:OFFSET($AC$3,$D$14-1,0),_xlfn.SEQUENCE(ROUND(C33,0))))</f>
        <v>#VALUE!</v>
      </c>
      <c r="F33" s="282" t="e" vm="2">
        <f t="shared" ca="1" si="19"/>
        <v>#VALUE!</v>
      </c>
      <c r="G33" s="8">
        <v>13</v>
      </c>
      <c r="J33" s="271"/>
      <c r="L33" s="267">
        <f>Q33+U33+Y33</f>
        <v>0</v>
      </c>
      <c r="M33" s="268">
        <f>R33+V33+Z33</f>
        <v>0</v>
      </c>
      <c r="N33" s="13" t="e">
        <f>M33/M24</f>
        <v>#DIV/0!</v>
      </c>
      <c r="O33" s="13"/>
      <c r="Q33" s="278">
        <f>COUNTIFS($AE:$AE,Q27,$AD:$AD,"Yes")</f>
        <v>0</v>
      </c>
      <c r="R33" s="268">
        <f>SUMIFS($AC:$AC,$AD:$AD,"Yes",$AE:$AE,Q27)</f>
        <v>0</v>
      </c>
      <c r="S33" s="34" t="e">
        <f>R33/$M$24</f>
        <v>#DIV/0!</v>
      </c>
      <c r="T33" s="9"/>
      <c r="U33" s="278">
        <f>COUNTIFS($AE:$AE,U27,$AD:$AD,"Yes")</f>
        <v>0</v>
      </c>
      <c r="V33" s="268">
        <f>SUMIFS($AC:$AC,$AD:$AD,"Yes",$AE:$AE,U27)</f>
        <v>0</v>
      </c>
      <c r="W33" s="34" t="e">
        <f>V33/$M$24</f>
        <v>#DIV/0!</v>
      </c>
      <c r="X33" s="9"/>
      <c r="Y33" s="278">
        <f>COUNTIFS($AE:$AE,Y27,$AD:$AD,"Yes")</f>
        <v>0</v>
      </c>
      <c r="Z33" s="268">
        <f>SUMIFS($AC:$AC,$AD:$AD,"Yes",$AE:$AE,Y27)</f>
        <v>0</v>
      </c>
      <c r="AA33" s="34" t="e">
        <f>Z33/$M$24</f>
        <v>#DIV/0!</v>
      </c>
      <c r="AC33" s="74" t="str">
        <v/>
      </c>
      <c r="AD33" s="2">
        <v>0</v>
      </c>
      <c r="AE33" s="2">
        <v>0</v>
      </c>
      <c r="AF33" s="2">
        <v>0</v>
      </c>
      <c r="AG33" s="74" t="str">
        <v/>
      </c>
    </row>
    <row r="34" spans="1:33" x14ac:dyDescent="0.15">
      <c r="A34" s="8">
        <f t="shared" si="21"/>
        <v>0</v>
      </c>
      <c r="B34" s="281">
        <f t="shared" si="22"/>
        <v>0.70000000000000007</v>
      </c>
      <c r="C34" s="263">
        <f>SUM($A$21:A34)</f>
        <v>0</v>
      </c>
      <c r="D34" s="264" t="e">
        <f ca="1">LARGE($AC$3:OFFSET($AC$3,$D$14-1,0),C34-1)</f>
        <v>#NUM!</v>
      </c>
      <c r="E34" s="8" t="e" cm="1" vm="1">
        <f t="array" aca="1" ref="E34" ca="1">SUM(LARGE($AC$3:OFFSET($AC$3,$D$14-1,0),_xlfn.SEQUENCE(ROUND(C34,0))))</f>
        <v>#VALUE!</v>
      </c>
      <c r="F34" s="282" t="e" vm="2">
        <f t="shared" ca="1" si="19"/>
        <v>#VALUE!</v>
      </c>
      <c r="G34" s="8">
        <v>14</v>
      </c>
      <c r="J34" s="271"/>
      <c r="L34" s="9"/>
      <c r="M34" s="11"/>
      <c r="N34" s="13"/>
      <c r="O34" s="13"/>
      <c r="Q34" s="30"/>
      <c r="R34" s="11"/>
      <c r="S34" s="34"/>
      <c r="T34" s="9"/>
      <c r="U34" s="30"/>
      <c r="V34" s="11"/>
      <c r="W34" s="34"/>
      <c r="X34" s="9"/>
      <c r="Y34" s="30"/>
      <c r="Z34" s="11"/>
      <c r="AA34" s="34"/>
      <c r="AC34" s="74" t="str">
        <v/>
      </c>
      <c r="AD34" s="2">
        <v>0</v>
      </c>
      <c r="AE34" s="2">
        <v>0</v>
      </c>
      <c r="AF34" s="2">
        <v>0</v>
      </c>
      <c r="AG34" s="74" t="str">
        <v/>
      </c>
    </row>
    <row r="35" spans="1:33" x14ac:dyDescent="0.15">
      <c r="A35" s="8">
        <f t="shared" si="21"/>
        <v>0</v>
      </c>
      <c r="B35" s="281">
        <f t="shared" si="22"/>
        <v>0.75000000000000011</v>
      </c>
      <c r="C35" s="263">
        <f>SUM($A$21:A35)</f>
        <v>0</v>
      </c>
      <c r="D35" s="264" t="e">
        <f ca="1">LARGE($AC$3:OFFSET($AC$3,$D$14-1,0),C35-1)</f>
        <v>#NUM!</v>
      </c>
      <c r="E35" s="8" t="e" cm="1" vm="1">
        <f t="array" aca="1" ref="E35" ca="1">SUM(LARGE($AC$3:OFFSET($AC$3,$D$14-1,0),_xlfn.SEQUENCE(ROUND(C35,0))))</f>
        <v>#VALUE!</v>
      </c>
      <c r="F35" s="282" t="e" vm="2">
        <f t="shared" ca="1" si="19"/>
        <v>#VALUE!</v>
      </c>
      <c r="G35" s="8">
        <v>15</v>
      </c>
      <c r="J35" s="271"/>
      <c r="AC35" s="74" t="str">
        <v/>
      </c>
      <c r="AD35" s="2">
        <v>0</v>
      </c>
      <c r="AE35" s="2">
        <v>0</v>
      </c>
      <c r="AF35" s="2">
        <v>0</v>
      </c>
      <c r="AG35" s="74" t="str">
        <v/>
      </c>
    </row>
    <row r="36" spans="1:33" x14ac:dyDescent="0.15">
      <c r="A36" s="8">
        <f t="shared" si="21"/>
        <v>0</v>
      </c>
      <c r="B36" s="281">
        <f t="shared" si="22"/>
        <v>0.80000000000000016</v>
      </c>
      <c r="C36" s="263">
        <f>SUM($A$21:A36)</f>
        <v>0</v>
      </c>
      <c r="D36" s="264" t="e">
        <f ca="1">LARGE($AC$3:OFFSET($AC$3,$D$14-1,0),C36-1)</f>
        <v>#NUM!</v>
      </c>
      <c r="E36" s="8" t="e" cm="1" vm="1">
        <f t="array" aca="1" ref="E36" ca="1">SUM(LARGE($AC$3:OFFSET($AC$3,$D$14-1,0),_xlfn.SEQUENCE(ROUND(C36,0))))</f>
        <v>#VALUE!</v>
      </c>
      <c r="F36" s="282" t="e" vm="2">
        <f t="shared" ca="1" si="19"/>
        <v>#VALUE!</v>
      </c>
      <c r="G36" s="8">
        <v>16</v>
      </c>
      <c r="J36" s="271"/>
      <c r="L36" s="8" t="s">
        <v>34</v>
      </c>
      <c r="M36" s="8" t="s">
        <v>143</v>
      </c>
      <c r="N36" s="8"/>
      <c r="O36" s="8"/>
      <c r="Q36" s="8" t="str">
        <f>Q$2</f>
        <v>PGS</v>
      </c>
      <c r="R36" s="8" t="s">
        <v>143</v>
      </c>
      <c r="S36" s="8"/>
      <c r="T36" s="8"/>
      <c r="U36" s="8" t="str">
        <f>U$2</f>
        <v>SO</v>
      </c>
      <c r="V36" s="8" t="s">
        <v>143</v>
      </c>
      <c r="W36" s="8"/>
      <c r="X36" s="8"/>
      <c r="Y36" s="8" t="str">
        <f>Y$2</f>
        <v>Envelope</v>
      </c>
      <c r="Z36" s="8" t="s">
        <v>143</v>
      </c>
      <c r="AA36" s="8"/>
      <c r="AC36" s="74" t="str">
        <v/>
      </c>
      <c r="AD36" s="2">
        <v>0</v>
      </c>
      <c r="AE36" s="2">
        <v>0</v>
      </c>
      <c r="AF36" s="2">
        <v>0</v>
      </c>
      <c r="AG36" s="74" t="str">
        <v/>
      </c>
    </row>
    <row r="37" spans="1:33" ht="26" x14ac:dyDescent="0.15">
      <c r="A37" s="8">
        <f t="shared" si="21"/>
        <v>0</v>
      </c>
      <c r="B37" s="281">
        <f t="shared" si="22"/>
        <v>0.8500000000000002</v>
      </c>
      <c r="C37" s="263">
        <f>SUM($A$21:A37)</f>
        <v>0</v>
      </c>
      <c r="D37" s="264" t="e">
        <f ca="1">LARGE($AC$3:OFFSET($AC$3,$D$14-1,0),C37-1)</f>
        <v>#NUM!</v>
      </c>
      <c r="E37" s="8" t="e" cm="1" vm="1">
        <f t="array" aca="1" ref="E37" ca="1">SUM(LARGE($AC$3:OFFSET($AC$3,$D$14-1,0),_xlfn.SEQUENCE(ROUND(C37,0))))</f>
        <v>#VALUE!</v>
      </c>
      <c r="F37" s="282" t="e" vm="2">
        <f t="shared" ca="1" si="19"/>
        <v>#VALUE!</v>
      </c>
      <c r="G37" s="8">
        <v>17</v>
      </c>
      <c r="J37" s="271"/>
      <c r="L37" s="262" t="s">
        <v>147</v>
      </c>
      <c r="M37" s="262" t="s">
        <v>148</v>
      </c>
      <c r="N37" s="262" t="s">
        <v>149</v>
      </c>
      <c r="O37" s="253"/>
      <c r="Q37" s="262" t="s">
        <v>147</v>
      </c>
      <c r="R37" s="262" t="s">
        <v>148</v>
      </c>
      <c r="S37" s="262" t="s">
        <v>149</v>
      </c>
      <c r="T37" s="261"/>
      <c r="U37" s="262" t="s">
        <v>147</v>
      </c>
      <c r="V37" s="262" t="s">
        <v>148</v>
      </c>
      <c r="W37" s="262" t="s">
        <v>149</v>
      </c>
      <c r="X37" s="261"/>
      <c r="Y37" s="262" t="s">
        <v>147</v>
      </c>
      <c r="Z37" s="262" t="s">
        <v>148</v>
      </c>
      <c r="AA37" s="262" t="s">
        <v>149</v>
      </c>
      <c r="AC37" s="74" t="str">
        <v/>
      </c>
      <c r="AD37" s="2">
        <v>0</v>
      </c>
      <c r="AE37" s="2">
        <v>0</v>
      </c>
      <c r="AF37" s="2">
        <v>0</v>
      </c>
      <c r="AG37" s="74" t="str">
        <v/>
      </c>
    </row>
    <row r="38" spans="1:33" x14ac:dyDescent="0.15">
      <c r="A38" s="8">
        <f t="shared" si="21"/>
        <v>0</v>
      </c>
      <c r="B38" s="281">
        <f t="shared" si="22"/>
        <v>0.90000000000000024</v>
      </c>
      <c r="C38" s="263">
        <f>SUM($A$21:A38)</f>
        <v>0</v>
      </c>
      <c r="D38" s="264" t="e">
        <f ca="1">LARGE($AC$3:OFFSET($AC$3,$D$14-1,0),C38-1)</f>
        <v>#NUM!</v>
      </c>
      <c r="E38" s="8" t="e" cm="1" vm="1">
        <f t="array" aca="1" ref="E38" ca="1">SUM(LARGE($AC$3:OFFSET($AC$3,$D$14-1,0),_xlfn.SEQUENCE(ROUND(C38,0))))</f>
        <v>#VALUE!</v>
      </c>
      <c r="F38" s="282" t="e" vm="2">
        <f t="shared" ca="1" si="19"/>
        <v>#VALUE!</v>
      </c>
      <c r="G38" s="8">
        <v>18</v>
      </c>
      <c r="J38" s="265" t="s">
        <v>160</v>
      </c>
      <c r="L38" s="8">
        <f>COUNTIFS(_xlfn.ANCHORARRAY($AF$1),$J38,_xlfn.ANCHORARRAY($AD$1),"No")</f>
        <v>0</v>
      </c>
      <c r="M38" s="11">
        <f>SUMIFS(_xlfn.ANCHORARRAY($AC$1),_xlfn.ANCHORARRAY($AF$1),$J38,_xlfn.ANCHORARRAY($AD$1),"No")</f>
        <v>0</v>
      </c>
      <c r="N38" s="34" t="e">
        <f>M38/$M$24</f>
        <v>#DIV/0!</v>
      </c>
      <c r="O38" s="34"/>
      <c r="Q38" s="8">
        <f>COUNTIFS(_xlfn.ANCHORARRAY($AF$1),$J38,_xlfn.ANCHORARRAY($AE$1),Q$18,_xlfn.ANCHORARRAY($AD$1),"No")</f>
        <v>0</v>
      </c>
      <c r="R38" s="11">
        <f>SUMIFS(_xlfn.ANCHORARRAY($AC$1),_xlfn.ANCHORARRAY($AF$1),$J38,_xlfn.ANCHORARRAY($AE$1),Q$18,_xlfn.ANCHORARRAY($AD$1),"No")</f>
        <v>0</v>
      </c>
      <c r="S38" s="34" t="e">
        <f>R38/$M$24</f>
        <v>#DIV/0!</v>
      </c>
      <c r="T38" s="8"/>
      <c r="U38" s="8">
        <f>COUNTIFS(_xlfn.ANCHORARRAY($AF$1),$J38,_xlfn.ANCHORARRAY($AE$1),U$18,_xlfn.ANCHORARRAY($AD$1),"No")</f>
        <v>0</v>
      </c>
      <c r="V38" s="11">
        <f>SUMIFS(_xlfn.ANCHORARRAY($AC$1),_xlfn.ANCHORARRAY($AF$1),$J38,_xlfn.ANCHORARRAY($AE$1),U$18,_xlfn.ANCHORARRAY($AD$1),"No")</f>
        <v>0</v>
      </c>
      <c r="W38" s="34" t="e">
        <f>V38/$M$24</f>
        <v>#DIV/0!</v>
      </c>
      <c r="X38" s="8"/>
      <c r="Y38" s="8">
        <f>COUNTIFS(_xlfn.ANCHORARRAY($AF$1),$J38,_xlfn.ANCHORARRAY($AE$1),Y$18,_xlfn.ANCHORARRAY($AD$1),"No")</f>
        <v>0</v>
      </c>
      <c r="Z38" s="11">
        <f>SUMIFS(_xlfn.ANCHORARRAY($AC$1),_xlfn.ANCHORARRAY($AF$1),$J38,_xlfn.ANCHORARRAY($AE$1),Y$18,_xlfn.ANCHORARRAY($AD$1),"No")</f>
        <v>0</v>
      </c>
      <c r="AA38" s="34" t="e">
        <f>Z38/$M$24</f>
        <v>#DIV/0!</v>
      </c>
      <c r="AC38" s="74" t="str">
        <v/>
      </c>
      <c r="AD38" s="2">
        <v>0</v>
      </c>
      <c r="AE38" s="2">
        <v>0</v>
      </c>
      <c r="AF38" s="2">
        <v>0</v>
      </c>
      <c r="AG38" s="74" t="str">
        <v/>
      </c>
    </row>
    <row r="39" spans="1:33" x14ac:dyDescent="0.15">
      <c r="A39" s="8">
        <f t="shared" si="21"/>
        <v>0</v>
      </c>
      <c r="B39" s="281">
        <f t="shared" si="22"/>
        <v>0.95000000000000029</v>
      </c>
      <c r="C39" s="263">
        <f>SUM($A$21:A39)</f>
        <v>0</v>
      </c>
      <c r="D39" s="264" t="e">
        <f ca="1">LARGE($AC$3:OFFSET($AC$3,$D$14-1,0),C39-1)</f>
        <v>#NUM!</v>
      </c>
      <c r="E39" s="8" t="e" cm="1" vm="1">
        <f t="array" aca="1" ref="E39" ca="1">SUM(LARGE($AC$3:OFFSET($AC$3,$D$14-1,0),_xlfn.SEQUENCE(ROUND(C39,0))))</f>
        <v>#VALUE!</v>
      </c>
      <c r="F39" s="282" t="e" vm="2">
        <f t="shared" ca="1" si="19"/>
        <v>#VALUE!</v>
      </c>
      <c r="G39" s="8">
        <v>19</v>
      </c>
      <c r="J39" s="265" t="s">
        <v>161</v>
      </c>
      <c r="L39" s="8">
        <f t="shared" ref="L39:L41" si="31">COUNTIFS(_xlfn.ANCHORARRAY($AF$1),$J39,_xlfn.ANCHORARRAY($AD$1),"No")</f>
        <v>0</v>
      </c>
      <c r="M39" s="11">
        <f t="shared" ref="M39:M41" si="32">SUMIFS(_xlfn.ANCHORARRAY($AC$1),_xlfn.ANCHORARRAY($AF$1),$J39,_xlfn.ANCHORARRAY($AD$1),"No")</f>
        <v>0</v>
      </c>
      <c r="N39" s="34" t="e">
        <f>M39/$M$24</f>
        <v>#DIV/0!</v>
      </c>
      <c r="O39" s="34"/>
      <c r="Q39" s="8">
        <f t="shared" ref="Q39:Q41" si="33">COUNTIFS(_xlfn.ANCHORARRAY($AF$1),$J39,_xlfn.ANCHORARRAY($AE$1),Q$18,_xlfn.ANCHORARRAY($AD$1),"No")</f>
        <v>0</v>
      </c>
      <c r="R39" s="11">
        <f t="shared" ref="R39:R41" si="34">SUMIFS(_xlfn.ANCHORARRAY($AC$1),_xlfn.ANCHORARRAY($AF$1),$J39,_xlfn.ANCHORARRAY($AE$1),Q$18,_xlfn.ANCHORARRAY($AD$1),"No")</f>
        <v>0</v>
      </c>
      <c r="S39" s="34" t="e">
        <f>R39/$M$24</f>
        <v>#DIV/0!</v>
      </c>
      <c r="T39" s="8"/>
      <c r="U39" s="8">
        <f t="shared" ref="U39:U41" si="35">COUNTIFS(_xlfn.ANCHORARRAY($AF$1),$J39,_xlfn.ANCHORARRAY($AE$1),U$18,_xlfn.ANCHORARRAY($AD$1),"No")</f>
        <v>0</v>
      </c>
      <c r="V39" s="11">
        <f t="shared" ref="V39:V41" si="36">SUMIFS(_xlfn.ANCHORARRAY($AC$1),_xlfn.ANCHORARRAY($AF$1),$J39,_xlfn.ANCHORARRAY($AE$1),U$18,_xlfn.ANCHORARRAY($AD$1),"No")</f>
        <v>0</v>
      </c>
      <c r="W39" s="34" t="e">
        <f>V39/$M$24</f>
        <v>#DIV/0!</v>
      </c>
      <c r="X39" s="8"/>
      <c r="Y39" s="8">
        <f>COUNTIFS('2b Giving history'!$E:$E,$J39,'2b Giving history'!$D:$D,Calculations!$Y$18,'2b Giving history'!$C:$C,"No")</f>
        <v>0</v>
      </c>
      <c r="Z39" s="11">
        <f>SUMIFS('2b Giving history'!$B:$B,'2b Giving history'!$E:$E,$J39,'2b Giving history'!$D:$D,Calculations!$Y$18,'2b Giving history'!$C:$C,"No")</f>
        <v>0</v>
      </c>
      <c r="AA39" s="34" t="e">
        <f>Z39/$M$24</f>
        <v>#DIV/0!</v>
      </c>
      <c r="AC39" s="74" t="str">
        <v/>
      </c>
      <c r="AD39" s="2">
        <v>0</v>
      </c>
      <c r="AE39" s="2">
        <v>0</v>
      </c>
      <c r="AF39" s="2">
        <v>0</v>
      </c>
      <c r="AG39" s="74" t="str">
        <v/>
      </c>
    </row>
    <row r="40" spans="1:33" x14ac:dyDescent="0.15">
      <c r="A40" s="8">
        <f t="shared" si="21"/>
        <v>0</v>
      </c>
      <c r="B40" s="281">
        <f t="shared" si="22"/>
        <v>1.0000000000000002</v>
      </c>
      <c r="C40" s="263">
        <f>SUM($A$21:A40)</f>
        <v>0</v>
      </c>
      <c r="D40" s="264">
        <v>0</v>
      </c>
      <c r="E40" s="8" t="e" cm="1" vm="1">
        <f t="array" aca="1" ref="E40" ca="1">SUM(LARGE($AC$3:OFFSET($AC$3,$D$14-1,0),_xlfn.SEQUENCE(ROUND(C40,0))))</f>
        <v>#VALUE!</v>
      </c>
      <c r="F40" s="282" t="e" vm="2">
        <f t="shared" ca="1" si="19"/>
        <v>#VALUE!</v>
      </c>
      <c r="G40" s="8">
        <v>20</v>
      </c>
      <c r="J40" s="265" t="s">
        <v>162</v>
      </c>
      <c r="L40" s="8">
        <f t="shared" si="31"/>
        <v>0</v>
      </c>
      <c r="M40" s="11">
        <f t="shared" si="32"/>
        <v>0</v>
      </c>
      <c r="N40" s="34" t="e">
        <f>M40/$M$24</f>
        <v>#DIV/0!</v>
      </c>
      <c r="O40" s="34"/>
      <c r="Q40" s="8">
        <f t="shared" si="33"/>
        <v>0</v>
      </c>
      <c r="R40" s="11">
        <f t="shared" si="34"/>
        <v>0</v>
      </c>
      <c r="S40" s="34" t="e">
        <f>R40/$M$24</f>
        <v>#DIV/0!</v>
      </c>
      <c r="T40" s="8"/>
      <c r="U40" s="8">
        <f t="shared" si="35"/>
        <v>0</v>
      </c>
      <c r="V40" s="11">
        <f t="shared" si="36"/>
        <v>0</v>
      </c>
      <c r="W40" s="34" t="e">
        <f>V40/$M$24</f>
        <v>#DIV/0!</v>
      </c>
      <c r="X40" s="8"/>
      <c r="Y40" s="8">
        <f>COUNTIFS('2b Giving history'!$E:$E,$J40,'2b Giving history'!$D:$D,Calculations!$Y$18,'2b Giving history'!$C:$C,"No")</f>
        <v>0</v>
      </c>
      <c r="Z40" s="11">
        <f>SUMIFS('2b Giving history'!$B:$B,'2b Giving history'!$E:$E,$J40,'2b Giving history'!$D:$D,Calculations!$Y$18,'2b Giving history'!$C:$C,"No")</f>
        <v>0</v>
      </c>
      <c r="AA40" s="34" t="e">
        <f>Z40/$M$24</f>
        <v>#DIV/0!</v>
      </c>
      <c r="AC40" s="74" t="str">
        <v/>
      </c>
      <c r="AD40" s="2">
        <v>0</v>
      </c>
      <c r="AE40" s="2">
        <v>0</v>
      </c>
      <c r="AF40" s="2">
        <v>0</v>
      </c>
      <c r="AG40" s="74" t="str">
        <v/>
      </c>
    </row>
    <row r="41" spans="1:33" x14ac:dyDescent="0.15">
      <c r="J41" s="32" t="s">
        <v>163</v>
      </c>
      <c r="L41" s="8">
        <f t="shared" si="31"/>
        <v>0</v>
      </c>
      <c r="M41" s="11">
        <f t="shared" si="32"/>
        <v>0</v>
      </c>
      <c r="N41" s="34" t="e">
        <f>M41/$M$24</f>
        <v>#DIV/0!</v>
      </c>
      <c r="O41" s="34"/>
      <c r="Q41" s="8">
        <f t="shared" si="33"/>
        <v>0</v>
      </c>
      <c r="R41" s="11">
        <f t="shared" si="34"/>
        <v>0</v>
      </c>
      <c r="S41" s="34" t="e">
        <f>R41/$M$24</f>
        <v>#DIV/0!</v>
      </c>
      <c r="T41" s="9"/>
      <c r="U41" s="8">
        <f t="shared" si="35"/>
        <v>0</v>
      </c>
      <c r="V41" s="11">
        <f t="shared" si="36"/>
        <v>0</v>
      </c>
      <c r="W41" s="34" t="e">
        <f>V41/$M$24</f>
        <v>#DIV/0!</v>
      </c>
      <c r="X41" s="9"/>
      <c r="Y41" s="8">
        <f>COUNTIFS('2b Giving history'!$E:$E,$J41,'2b Giving history'!$D:$D,Calculations!$Y$18,'2b Giving history'!$C:$C,"No")</f>
        <v>0</v>
      </c>
      <c r="Z41" s="11">
        <f>SUMIFS('2b Giving history'!$B:$B,'2b Giving history'!$E:$E,$J41,'2b Giving history'!$D:$D,Calculations!$Y$18,'2b Giving history'!$C:$C,"No")</f>
        <v>0</v>
      </c>
      <c r="AA41" s="34" t="e">
        <f>Z41/$M$24</f>
        <v>#DIV/0!</v>
      </c>
      <c r="AC41" s="74" t="str">
        <v/>
      </c>
      <c r="AD41" s="2">
        <v>0</v>
      </c>
      <c r="AE41" s="2">
        <v>0</v>
      </c>
      <c r="AF41" s="2">
        <v>0</v>
      </c>
      <c r="AG41" s="74" t="str">
        <v/>
      </c>
    </row>
    <row r="42" spans="1:33" ht="14" thickBot="1" x14ac:dyDescent="0.2">
      <c r="L42" s="267">
        <f>Q42+U42+Y42</f>
        <v>0</v>
      </c>
      <c r="M42" s="268">
        <f>R42+V42+Z42</f>
        <v>0</v>
      </c>
      <c r="N42" s="13" t="e">
        <f>M42/M24</f>
        <v>#DIV/0!</v>
      </c>
      <c r="O42" s="13"/>
      <c r="Q42" s="278">
        <f>COUNTIFS($AE:$AE,Q36,$AD:$AD,"No")</f>
        <v>0</v>
      </c>
      <c r="R42" s="268">
        <f>SUMIFS($AC:$AC,$AD:$AD,"No",$AE:$AE,Q36)</f>
        <v>0</v>
      </c>
      <c r="S42" s="34" t="e">
        <f>R42/$M$24</f>
        <v>#DIV/0!</v>
      </c>
      <c r="T42" s="9"/>
      <c r="U42" s="278">
        <f>COUNTIFS($AE:$AE,U36,$AD:$AD,"No")</f>
        <v>0</v>
      </c>
      <c r="V42" s="268">
        <f>SUMIFS($AC:$AC,$AD:$AD,"No",$AE:$AE,U36)</f>
        <v>0</v>
      </c>
      <c r="W42" s="34" t="e">
        <f>V42/$M$24</f>
        <v>#DIV/0!</v>
      </c>
      <c r="X42" s="9"/>
      <c r="Y42" s="278">
        <f>COUNTIFS($AE:$AE,Y36,$AD:$AD,"No")</f>
        <v>0</v>
      </c>
      <c r="Z42" s="268">
        <f>SUMIFS($AC:$AC,$AD:$AD,"No",$AE:$AE,Y36)</f>
        <v>0</v>
      </c>
      <c r="AA42" s="34" t="e">
        <f>Z42/$M$24</f>
        <v>#DIV/0!</v>
      </c>
      <c r="AC42" s="74" t="str">
        <v/>
      </c>
      <c r="AD42" s="2">
        <v>0</v>
      </c>
      <c r="AE42" s="2">
        <v>0</v>
      </c>
      <c r="AF42" s="2">
        <v>0</v>
      </c>
      <c r="AG42" s="74" t="str">
        <v/>
      </c>
    </row>
    <row r="43" spans="1:33" ht="14" thickTop="1" x14ac:dyDescent="0.15">
      <c r="AC43" s="74" t="str">
        <v/>
      </c>
      <c r="AD43" s="2">
        <v>0</v>
      </c>
      <c r="AE43" s="2">
        <v>0</v>
      </c>
      <c r="AF43" s="2">
        <v>0</v>
      </c>
      <c r="AG43" s="74" t="str">
        <v/>
      </c>
    </row>
    <row r="44" spans="1:33" x14ac:dyDescent="0.15">
      <c r="A44" s="231" t="s">
        <v>164</v>
      </c>
      <c r="AC44" s="74" t="str">
        <v/>
      </c>
      <c r="AD44" s="2">
        <v>0</v>
      </c>
      <c r="AE44" s="2">
        <v>0</v>
      </c>
      <c r="AF44" s="2">
        <v>0</v>
      </c>
      <c r="AG44" s="74" t="str">
        <v/>
      </c>
    </row>
    <row r="45" spans="1:33" x14ac:dyDescent="0.15">
      <c r="A45" s="2" t="s">
        <v>110</v>
      </c>
      <c r="B45" s="283" t="str">
        <f>IF(SUMIF('3a Budget plan'!$M$1:$M$52,A45,'3a Budget plan'!$K$1:$K$52)=0,"",SUMIF('3a Budget plan'!$M$1:$M$52,A45,'3a Budget plan'!$K$1:$K$52))</f>
        <v/>
      </c>
      <c r="C45" s="2" t="s">
        <v>110</v>
      </c>
      <c r="AC45" s="74" t="str">
        <v/>
      </c>
      <c r="AD45" s="2">
        <v>0</v>
      </c>
      <c r="AE45" s="2">
        <v>0</v>
      </c>
      <c r="AF45" s="2">
        <v>0</v>
      </c>
      <c r="AG45" s="74" t="str">
        <v/>
      </c>
    </row>
    <row r="46" spans="1:33" x14ac:dyDescent="0.15">
      <c r="A46" s="2" t="s">
        <v>111</v>
      </c>
      <c r="B46" s="283" t="str">
        <f>IF(SUMIF('3a Budget plan'!$M$1:$M$52,A46,'3a Budget plan'!$K$1:$K$52)=0,"",SUMIF('3a Budget plan'!$M$1:$M$52,A46,'3a Budget plan'!$K$1:$K$52))</f>
        <v/>
      </c>
      <c r="C46" s="2" t="s">
        <v>111</v>
      </c>
      <c r="I46" s="2" t="s">
        <v>165</v>
      </c>
      <c r="AC46" s="74" t="str">
        <v/>
      </c>
      <c r="AD46" s="2">
        <v>0</v>
      </c>
      <c r="AE46" s="2">
        <v>0</v>
      </c>
      <c r="AF46" s="2">
        <v>0</v>
      </c>
      <c r="AG46" s="74" t="str">
        <v/>
      </c>
    </row>
    <row r="47" spans="1:33" x14ac:dyDescent="0.15">
      <c r="A47" s="2" t="s">
        <v>112</v>
      </c>
      <c r="B47" s="283" t="str">
        <f>IF(SUMIF('3a Budget plan'!$M$1:$M$52,A47,'3a Budget plan'!$K$1:$K$52)=0,"",SUMIF('3a Budget plan'!$M$1:$M$52,A47,'3a Budget plan'!$K$1:$K$52))</f>
        <v/>
      </c>
      <c r="C47" s="2" t="s">
        <v>112</v>
      </c>
      <c r="H47" s="2">
        <f>'1 Start here'!C10</f>
        <v>0</v>
      </c>
      <c r="I47" s="7">
        <f>SUM('2a Finance history'!$G$5:$G$6)</f>
        <v>0</v>
      </c>
      <c r="AC47" s="74" t="str">
        <v/>
      </c>
      <c r="AD47" s="2">
        <v>0</v>
      </c>
      <c r="AE47" s="2">
        <v>0</v>
      </c>
      <c r="AF47" s="2">
        <v>0</v>
      </c>
      <c r="AG47" s="74" t="str">
        <v/>
      </c>
    </row>
    <row r="48" spans="1:33" x14ac:dyDescent="0.15">
      <c r="A48" s="2" t="s">
        <v>113</v>
      </c>
      <c r="B48" s="283" t="str">
        <f>IF(SUMIF('3a Budget plan'!$M$1:$M$52,A48,'3a Budget plan'!$K$1:$K$52)=0,"",SUMIF('3a Budget plan'!$M$1:$M$52,A48,'3a Budget plan'!$K$1:$K$52))</f>
        <v/>
      </c>
      <c r="C48" s="2" t="s">
        <v>113</v>
      </c>
      <c r="H48" s="2">
        <f>'1 Start here'!C11</f>
        <v>0</v>
      </c>
      <c r="I48" s="7">
        <f>SUM('2a Finance history'!$K$5:$K$6)</f>
        <v>0</v>
      </c>
      <c r="AC48" s="74" t="str">
        <v/>
      </c>
      <c r="AD48" s="2">
        <v>0</v>
      </c>
      <c r="AE48" s="2">
        <v>0</v>
      </c>
      <c r="AF48" s="2">
        <v>0</v>
      </c>
      <c r="AG48" s="74" t="str">
        <v/>
      </c>
    </row>
    <row r="49" spans="1:33" x14ac:dyDescent="0.15">
      <c r="H49" s="2">
        <f>'1 Start here'!C12</f>
        <v>0</v>
      </c>
      <c r="I49" s="7">
        <f>SUM('2a Finance history'!$O$5:$O$6)</f>
        <v>0</v>
      </c>
      <c r="AC49" s="74" t="str">
        <v/>
      </c>
      <c r="AD49" s="2">
        <v>0</v>
      </c>
      <c r="AE49" s="2">
        <v>0</v>
      </c>
      <c r="AF49" s="2">
        <v>0</v>
      </c>
      <c r="AG49" s="74" t="str">
        <v/>
      </c>
    </row>
    <row r="50" spans="1:33" x14ac:dyDescent="0.15">
      <c r="A50" s="231" t="s">
        <v>166</v>
      </c>
      <c r="H50" s="2">
        <f>'1 Start here'!C13</f>
        <v>0</v>
      </c>
      <c r="I50" s="7">
        <f>SUM('2a Finance history'!$S$5:$S$6)</f>
        <v>0</v>
      </c>
      <c r="AC50" s="74" t="str">
        <v/>
      </c>
      <c r="AD50" s="2">
        <v>0</v>
      </c>
      <c r="AE50" s="2">
        <v>0</v>
      </c>
      <c r="AF50" s="2">
        <v>0</v>
      </c>
      <c r="AG50" s="74" t="str">
        <v/>
      </c>
    </row>
    <row r="51" spans="1:33" x14ac:dyDescent="0.15">
      <c r="A51" s="2" t="s">
        <v>114</v>
      </c>
      <c r="B51" s="283" t="str">
        <f>IF(SUMIF('3a Budget plan'!$M$1:$M$52,A51,'3a Budget plan'!$K$1:$K$52)=0,"",SUMIF('3a Budget plan'!$M$1:$M$52,A51,'3a Budget plan'!$K$1:$K$52))</f>
        <v/>
      </c>
      <c r="C51" s="2" t="s">
        <v>167</v>
      </c>
      <c r="AC51" s="74" t="str">
        <v/>
      </c>
      <c r="AD51" s="2">
        <v>0</v>
      </c>
      <c r="AE51" s="2">
        <v>0</v>
      </c>
      <c r="AF51" s="2">
        <v>0</v>
      </c>
      <c r="AG51" s="74" t="str">
        <v/>
      </c>
    </row>
    <row r="52" spans="1:33" x14ac:dyDescent="0.15">
      <c r="A52" s="2" t="s">
        <v>115</v>
      </c>
      <c r="B52" s="283" t="str">
        <f>IF(SUMIF('3a Budget plan'!$M$1:$M$52,A52,'3a Budget plan'!$K$1:$K$52)=0,"",SUMIF('3a Budget plan'!$M$1:$M$52,A52,'3a Budget plan'!$K$1:$K$52))</f>
        <v/>
      </c>
      <c r="C52" s="2" t="s">
        <v>168</v>
      </c>
      <c r="AC52" s="74" t="str">
        <v/>
      </c>
      <c r="AD52" s="2">
        <v>0</v>
      </c>
      <c r="AE52" s="2">
        <v>0</v>
      </c>
      <c r="AF52" s="2">
        <v>0</v>
      </c>
      <c r="AG52" s="74" t="str">
        <v/>
      </c>
    </row>
    <row r="53" spans="1:33" x14ac:dyDescent="0.15">
      <c r="A53" s="2" t="s">
        <v>116</v>
      </c>
      <c r="B53" s="283" t="str">
        <f>IF(SUMIF('3a Budget plan'!$M$1:$M$52,A53,'3a Budget plan'!$K$1:$K$52)=0,"",SUMIF('3a Budget plan'!$M$1:$M$52,A53,'3a Budget plan'!$K$1:$K$52))</f>
        <v/>
      </c>
      <c r="C53" s="2" t="s">
        <v>169</v>
      </c>
      <c r="AC53" s="74" t="str">
        <v/>
      </c>
      <c r="AD53" s="2">
        <v>0</v>
      </c>
      <c r="AE53" s="2">
        <v>0</v>
      </c>
      <c r="AF53" s="2">
        <v>0</v>
      </c>
      <c r="AG53" s="74" t="str">
        <v/>
      </c>
    </row>
    <row r="54" spans="1:33" x14ac:dyDescent="0.15">
      <c r="A54" s="2" t="s">
        <v>117</v>
      </c>
      <c r="B54" s="283" t="str">
        <f>IF(SUMIF('3a Budget plan'!$M$1:$M$52,A54,'3a Budget plan'!$K$1:$K$52)=0,"",SUMIF('3a Budget plan'!$M$1:$M$52,A54,'3a Budget plan'!$K$1:$K$52))</f>
        <v/>
      </c>
      <c r="C54" s="2" t="s">
        <v>170</v>
      </c>
      <c r="AC54" s="74" t="str">
        <v/>
      </c>
      <c r="AD54" s="2">
        <v>0</v>
      </c>
      <c r="AE54" s="2">
        <v>0</v>
      </c>
      <c r="AF54" s="2">
        <v>0</v>
      </c>
      <c r="AG54" s="74" t="str">
        <v/>
      </c>
    </row>
    <row r="55" spans="1:33" x14ac:dyDescent="0.15">
      <c r="AC55" s="74" t="str">
        <v/>
      </c>
      <c r="AD55" s="2">
        <v>0</v>
      </c>
      <c r="AE55" s="2">
        <v>0</v>
      </c>
      <c r="AF55" s="2">
        <v>0</v>
      </c>
      <c r="AG55" s="74" t="str">
        <v/>
      </c>
    </row>
    <row r="56" spans="1:33" x14ac:dyDescent="0.15">
      <c r="C56" s="2" t="s">
        <v>35</v>
      </c>
      <c r="D56" s="2" t="s">
        <v>35</v>
      </c>
      <c r="E56" s="2" t="s">
        <v>59</v>
      </c>
      <c r="F56" s="2" t="s">
        <v>59</v>
      </c>
      <c r="I56" s="375" t="s">
        <v>171</v>
      </c>
      <c r="J56" s="375"/>
      <c r="AC56" s="74" t="str">
        <v/>
      </c>
      <c r="AD56" s="2">
        <v>0</v>
      </c>
      <c r="AE56" s="2">
        <v>0</v>
      </c>
      <c r="AF56" s="2">
        <v>0</v>
      </c>
      <c r="AG56" s="74" t="str">
        <v/>
      </c>
    </row>
    <row r="57" spans="1:33" x14ac:dyDescent="0.15">
      <c r="C57" s="2" t="s">
        <v>32</v>
      </c>
      <c r="D57" s="2" t="s">
        <v>33</v>
      </c>
      <c r="E57" s="2" t="s">
        <v>32</v>
      </c>
      <c r="F57" s="2" t="s">
        <v>33</v>
      </c>
      <c r="I57" s="2" t="s">
        <v>32</v>
      </c>
      <c r="J57" s="2" t="s">
        <v>33</v>
      </c>
      <c r="AC57" s="74" t="str">
        <v/>
      </c>
      <c r="AD57" s="2">
        <v>0</v>
      </c>
      <c r="AE57" s="2">
        <v>0</v>
      </c>
      <c r="AF57" s="2">
        <v>0</v>
      </c>
      <c r="AG57" s="74" t="str">
        <v/>
      </c>
    </row>
    <row r="58" spans="1:33" x14ac:dyDescent="0.15">
      <c r="A58" s="2">
        <v>0</v>
      </c>
      <c r="H58" s="2">
        <f>'1 Start here'!C10</f>
        <v>0</v>
      </c>
      <c r="I58" s="7">
        <f>'2a Finance history'!E43+'2a Finance history'!E44</f>
        <v>0</v>
      </c>
      <c r="J58" s="7">
        <f>'2a Finance history'!F43+'2a Finance history'!F44</f>
        <v>0</v>
      </c>
      <c r="AC58" s="74" t="str">
        <v/>
      </c>
      <c r="AD58" s="2">
        <v>0</v>
      </c>
      <c r="AE58" s="2">
        <v>0</v>
      </c>
      <c r="AF58" s="2">
        <v>0</v>
      </c>
      <c r="AG58" s="74" t="str">
        <v/>
      </c>
    </row>
    <row r="59" spans="1:33" x14ac:dyDescent="0.15">
      <c r="A59" s="2">
        <v>1</v>
      </c>
      <c r="B59" s="2">
        <f>'1 Start here'!C10</f>
        <v>0</v>
      </c>
      <c r="C59" s="7">
        <f>'2a Finance history'!E19</f>
        <v>0</v>
      </c>
      <c r="D59" s="7">
        <f>'2a Finance history'!F19</f>
        <v>0</v>
      </c>
      <c r="H59" s="2">
        <f>'1 Start here'!C11</f>
        <v>0</v>
      </c>
      <c r="I59" s="7">
        <f>'2a Finance history'!I43+'2a Finance history'!I44</f>
        <v>0</v>
      </c>
      <c r="J59" s="7">
        <f>'2a Finance history'!J43+'2a Finance history'!J44</f>
        <v>0</v>
      </c>
      <c r="AC59" s="74" t="str">
        <v/>
      </c>
      <c r="AD59" s="2">
        <v>0</v>
      </c>
      <c r="AE59" s="2">
        <v>0</v>
      </c>
      <c r="AF59" s="2">
        <v>0</v>
      </c>
      <c r="AG59" s="74" t="str">
        <v/>
      </c>
    </row>
    <row r="60" spans="1:33" x14ac:dyDescent="0.15">
      <c r="A60" s="2">
        <v>1</v>
      </c>
      <c r="C60" s="7"/>
      <c r="D60" s="7"/>
      <c r="E60" s="7">
        <f>'2a Finance history'!E38</f>
        <v>0</v>
      </c>
      <c r="F60" s="7">
        <f>'2a Finance history'!F38</f>
        <v>0</v>
      </c>
      <c r="H60" s="2">
        <f>'1 Start here'!C12</f>
        <v>0</v>
      </c>
      <c r="I60" s="7">
        <f>'2a Finance history'!M43+'2a Finance history'!M44</f>
        <v>0</v>
      </c>
      <c r="J60" s="7">
        <f>'2a Finance history'!N43+'2a Finance history'!N44</f>
        <v>0</v>
      </c>
      <c r="AC60" s="74" t="str">
        <v/>
      </c>
      <c r="AD60" s="2">
        <v>0</v>
      </c>
      <c r="AE60" s="2">
        <v>0</v>
      </c>
      <c r="AF60" s="2">
        <v>0</v>
      </c>
      <c r="AG60" s="74" t="str">
        <v/>
      </c>
    </row>
    <row r="61" spans="1:33" x14ac:dyDescent="0.15">
      <c r="A61" s="2">
        <v>1</v>
      </c>
      <c r="C61" s="7"/>
      <c r="D61" s="7"/>
      <c r="E61" s="7"/>
      <c r="F61" s="7"/>
      <c r="H61" s="2">
        <f>'1 Start here'!C13</f>
        <v>0</v>
      </c>
      <c r="I61" s="7">
        <f>'2a Finance history'!Q43+'2a Finance history'!Q44</f>
        <v>0</v>
      </c>
      <c r="J61" s="7">
        <f>'2a Finance history'!R43+'2a Finance history'!R44</f>
        <v>0</v>
      </c>
      <c r="AC61" s="74" t="str">
        <v/>
      </c>
      <c r="AD61" s="2">
        <v>0</v>
      </c>
      <c r="AE61" s="2">
        <v>0</v>
      </c>
      <c r="AF61" s="2">
        <v>0</v>
      </c>
      <c r="AG61" s="74" t="str">
        <v/>
      </c>
    </row>
    <row r="62" spans="1:33" x14ac:dyDescent="0.15">
      <c r="A62" s="2">
        <v>2</v>
      </c>
      <c r="B62" s="2">
        <f>'1 Start here'!C11</f>
        <v>0</v>
      </c>
      <c r="C62" s="7">
        <f>'2a Finance history'!I19</f>
        <v>0</v>
      </c>
      <c r="D62" s="7">
        <f>'2a Finance history'!J19</f>
        <v>0</v>
      </c>
      <c r="E62" s="7"/>
      <c r="F62" s="7"/>
      <c r="AC62" s="74" t="str">
        <v/>
      </c>
      <c r="AD62" s="2">
        <v>0</v>
      </c>
      <c r="AE62" s="2">
        <v>0</v>
      </c>
      <c r="AF62" s="2">
        <v>0</v>
      </c>
      <c r="AG62" s="74" t="str">
        <v/>
      </c>
    </row>
    <row r="63" spans="1:33" x14ac:dyDescent="0.15">
      <c r="A63" s="2">
        <v>2</v>
      </c>
      <c r="C63" s="7"/>
      <c r="D63" s="7"/>
      <c r="E63" s="7">
        <f>'2a Finance history'!I38</f>
        <v>0</v>
      </c>
      <c r="F63" s="7">
        <f>'2a Finance history'!J38</f>
        <v>0</v>
      </c>
      <c r="AC63" s="74" t="str">
        <v/>
      </c>
      <c r="AD63" s="2">
        <v>0</v>
      </c>
      <c r="AE63" s="2">
        <v>0</v>
      </c>
      <c r="AF63" s="2">
        <v>0</v>
      </c>
      <c r="AG63" s="74" t="str">
        <v/>
      </c>
    </row>
    <row r="64" spans="1:33" x14ac:dyDescent="0.15">
      <c r="A64" s="2">
        <v>2</v>
      </c>
      <c r="C64" s="7"/>
      <c r="D64" s="7"/>
      <c r="E64" s="7"/>
      <c r="F64" s="7"/>
      <c r="AC64" s="74" t="str">
        <v/>
      </c>
      <c r="AD64" s="2">
        <v>0</v>
      </c>
      <c r="AE64" s="2">
        <v>0</v>
      </c>
      <c r="AF64" s="2">
        <v>0</v>
      </c>
      <c r="AG64" s="74" t="str">
        <v/>
      </c>
    </row>
    <row r="65" spans="1:33" x14ac:dyDescent="0.15">
      <c r="A65" s="2">
        <v>3</v>
      </c>
      <c r="B65" s="2">
        <f>'1 Start here'!C12</f>
        <v>0</v>
      </c>
      <c r="C65" s="7">
        <f>'2a Finance history'!M19</f>
        <v>0</v>
      </c>
      <c r="D65" s="7">
        <f>'2a Finance history'!N19</f>
        <v>0</v>
      </c>
      <c r="E65" s="7"/>
      <c r="F65" s="7"/>
      <c r="AC65" s="74" t="str">
        <v/>
      </c>
      <c r="AD65" s="2">
        <v>0</v>
      </c>
      <c r="AE65" s="2">
        <v>0</v>
      </c>
      <c r="AF65" s="2">
        <v>0</v>
      </c>
      <c r="AG65" s="74" t="str">
        <v/>
      </c>
    </row>
    <row r="66" spans="1:33" x14ac:dyDescent="0.15">
      <c r="A66" s="2">
        <v>3</v>
      </c>
      <c r="C66" s="7"/>
      <c r="D66" s="7"/>
      <c r="E66" s="7">
        <f>'2a Finance history'!M38</f>
        <v>0</v>
      </c>
      <c r="F66" s="7">
        <f>'2a Finance history'!N38</f>
        <v>0</v>
      </c>
      <c r="AC66" s="74" t="str">
        <v/>
      </c>
      <c r="AD66" s="2">
        <v>0</v>
      </c>
      <c r="AE66" s="2">
        <v>0</v>
      </c>
      <c r="AF66" s="2">
        <v>0</v>
      </c>
      <c r="AG66" s="74" t="str">
        <v/>
      </c>
    </row>
    <row r="67" spans="1:33" x14ac:dyDescent="0.15">
      <c r="A67" s="2">
        <v>3</v>
      </c>
      <c r="C67" s="7"/>
      <c r="D67" s="7"/>
      <c r="E67" s="7"/>
      <c r="F67" s="7"/>
      <c r="AC67" s="74" t="str">
        <v/>
      </c>
      <c r="AD67" s="2">
        <v>0</v>
      </c>
      <c r="AE67" s="2">
        <v>0</v>
      </c>
      <c r="AF67" s="2">
        <v>0</v>
      </c>
      <c r="AG67" s="74" t="str">
        <v/>
      </c>
    </row>
    <row r="68" spans="1:33" x14ac:dyDescent="0.15">
      <c r="A68" s="2">
        <v>4</v>
      </c>
      <c r="B68" s="2">
        <f>'1 Start here'!C13</f>
        <v>0</v>
      </c>
      <c r="C68" s="7">
        <f>'2a Finance history'!Q19</f>
        <v>0</v>
      </c>
      <c r="D68" s="7">
        <f>'2a Finance history'!R19</f>
        <v>0</v>
      </c>
      <c r="E68" s="7"/>
      <c r="F68" s="7"/>
      <c r="AC68" s="74" t="str">
        <v/>
      </c>
      <c r="AD68" s="2">
        <v>0</v>
      </c>
      <c r="AE68" s="2">
        <v>0</v>
      </c>
      <c r="AF68" s="2">
        <v>0</v>
      </c>
      <c r="AG68" s="74" t="str">
        <v/>
      </c>
    </row>
    <row r="69" spans="1:33" x14ac:dyDescent="0.15">
      <c r="A69" s="2">
        <v>4</v>
      </c>
      <c r="E69" s="7">
        <f>'2a Finance history'!Q38</f>
        <v>0</v>
      </c>
      <c r="F69" s="7">
        <f>'2a Finance history'!R38</f>
        <v>0</v>
      </c>
      <c r="AC69" s="74" t="str">
        <v/>
      </c>
      <c r="AD69" s="2">
        <v>0</v>
      </c>
      <c r="AE69" s="2">
        <v>0</v>
      </c>
      <c r="AF69" s="2">
        <v>0</v>
      </c>
      <c r="AG69" s="74" t="str">
        <v/>
      </c>
    </row>
    <row r="70" spans="1:33" x14ac:dyDescent="0.15">
      <c r="A70" s="2">
        <v>4</v>
      </c>
      <c r="AC70" s="74" t="str">
        <v/>
      </c>
      <c r="AD70" s="2">
        <v>0</v>
      </c>
      <c r="AE70" s="2">
        <v>0</v>
      </c>
      <c r="AF70" s="2">
        <v>0</v>
      </c>
      <c r="AG70" s="74" t="str">
        <v/>
      </c>
    </row>
    <row r="71" spans="1:33" x14ac:dyDescent="0.15">
      <c r="AC71" s="74" t="str">
        <v/>
      </c>
      <c r="AD71" s="2">
        <v>0</v>
      </c>
      <c r="AE71" s="2">
        <v>0</v>
      </c>
      <c r="AF71" s="2">
        <v>0</v>
      </c>
      <c r="AG71" s="74" t="str">
        <v/>
      </c>
    </row>
    <row r="72" spans="1:33" x14ac:dyDescent="0.15">
      <c r="AC72" s="74" t="str">
        <v/>
      </c>
      <c r="AD72" s="2">
        <v>0</v>
      </c>
      <c r="AE72" s="2">
        <v>0</v>
      </c>
      <c r="AF72" s="2">
        <v>0</v>
      </c>
      <c r="AG72" s="74" t="str">
        <v/>
      </c>
    </row>
    <row r="73" spans="1:33" x14ac:dyDescent="0.15">
      <c r="AC73" s="74" t="str">
        <v/>
      </c>
      <c r="AD73" s="2">
        <v>0</v>
      </c>
      <c r="AE73" s="2">
        <v>0</v>
      </c>
      <c r="AF73" s="2">
        <v>0</v>
      </c>
      <c r="AG73" s="74" t="str">
        <v/>
      </c>
    </row>
    <row r="74" spans="1:33" x14ac:dyDescent="0.15">
      <c r="AC74" s="74" t="str">
        <v/>
      </c>
      <c r="AD74" s="2">
        <v>0</v>
      </c>
      <c r="AE74" s="2">
        <v>0</v>
      </c>
      <c r="AF74" s="2">
        <v>0</v>
      </c>
      <c r="AG74" s="74" t="str">
        <v/>
      </c>
    </row>
    <row r="75" spans="1:33" x14ac:dyDescent="0.15">
      <c r="AC75" s="74" t="str">
        <v/>
      </c>
      <c r="AD75" s="2">
        <v>0</v>
      </c>
      <c r="AE75" s="2">
        <v>0</v>
      </c>
      <c r="AF75" s="2">
        <v>0</v>
      </c>
      <c r="AG75" s="74" t="str">
        <v/>
      </c>
    </row>
    <row r="76" spans="1:33" x14ac:dyDescent="0.15">
      <c r="AC76" s="74" t="str">
        <v/>
      </c>
      <c r="AD76" s="2">
        <v>0</v>
      </c>
      <c r="AE76" s="2">
        <v>0</v>
      </c>
      <c r="AF76" s="2">
        <v>0</v>
      </c>
      <c r="AG76" s="74" t="str">
        <v/>
      </c>
    </row>
    <row r="77" spans="1:33" x14ac:dyDescent="0.15">
      <c r="AC77" s="74" t="str">
        <v/>
      </c>
      <c r="AD77" s="2">
        <v>0</v>
      </c>
      <c r="AE77" s="2">
        <v>0</v>
      </c>
      <c r="AF77" s="2">
        <v>0</v>
      </c>
      <c r="AG77" s="74" t="str">
        <v/>
      </c>
    </row>
    <row r="78" spans="1:33" x14ac:dyDescent="0.15">
      <c r="AC78" s="74" t="str">
        <v/>
      </c>
      <c r="AD78" s="2">
        <v>0</v>
      </c>
      <c r="AE78" s="2">
        <v>0</v>
      </c>
      <c r="AF78" s="2">
        <v>0</v>
      </c>
      <c r="AG78" s="74" t="str">
        <v/>
      </c>
    </row>
    <row r="79" spans="1:33" x14ac:dyDescent="0.15">
      <c r="AC79" s="74" t="str">
        <v/>
      </c>
      <c r="AD79" s="2">
        <v>0</v>
      </c>
      <c r="AE79" s="2">
        <v>0</v>
      </c>
      <c r="AF79" s="2">
        <v>0</v>
      </c>
      <c r="AG79" s="74" t="str">
        <v/>
      </c>
    </row>
    <row r="80" spans="1:33" x14ac:dyDescent="0.15">
      <c r="AC80" s="74" t="str">
        <v/>
      </c>
      <c r="AD80" s="2">
        <v>0</v>
      </c>
      <c r="AE80" s="2">
        <v>0</v>
      </c>
      <c r="AF80" s="2">
        <v>0</v>
      </c>
      <c r="AG80" s="74" t="str">
        <v/>
      </c>
    </row>
    <row r="81" spans="29:33" x14ac:dyDescent="0.15">
      <c r="AC81" s="74" t="str">
        <v/>
      </c>
      <c r="AD81" s="2">
        <v>0</v>
      </c>
      <c r="AE81" s="2">
        <v>0</v>
      </c>
      <c r="AF81" s="2">
        <v>0</v>
      </c>
      <c r="AG81" s="74" t="str">
        <v/>
      </c>
    </row>
    <row r="82" spans="29:33" x14ac:dyDescent="0.15">
      <c r="AC82" s="74" t="str">
        <v/>
      </c>
      <c r="AD82" s="2">
        <v>0</v>
      </c>
      <c r="AE82" s="2">
        <v>0</v>
      </c>
      <c r="AF82" s="2">
        <v>0</v>
      </c>
      <c r="AG82" s="74" t="str">
        <v/>
      </c>
    </row>
    <row r="83" spans="29:33" x14ac:dyDescent="0.15">
      <c r="AC83" s="74" t="str">
        <v/>
      </c>
      <c r="AD83" s="2">
        <v>0</v>
      </c>
      <c r="AE83" s="2">
        <v>0</v>
      </c>
      <c r="AF83" s="2">
        <v>0</v>
      </c>
      <c r="AG83" s="74" t="str">
        <v/>
      </c>
    </row>
    <row r="84" spans="29:33" x14ac:dyDescent="0.15">
      <c r="AC84" s="74" t="str">
        <v/>
      </c>
      <c r="AD84" s="2">
        <v>0</v>
      </c>
      <c r="AE84" s="2">
        <v>0</v>
      </c>
      <c r="AF84" s="2">
        <v>0</v>
      </c>
      <c r="AG84" s="74" t="str">
        <v/>
      </c>
    </row>
    <row r="85" spans="29:33" x14ac:dyDescent="0.15">
      <c r="AC85" s="74" t="str">
        <v/>
      </c>
      <c r="AD85" s="2">
        <v>0</v>
      </c>
      <c r="AE85" s="2">
        <v>0</v>
      </c>
      <c r="AF85" s="2">
        <v>0</v>
      </c>
      <c r="AG85" s="74" t="str">
        <v/>
      </c>
    </row>
    <row r="86" spans="29:33" x14ac:dyDescent="0.15">
      <c r="AC86" s="74" t="str">
        <v/>
      </c>
      <c r="AD86" s="2">
        <v>0</v>
      </c>
      <c r="AE86" s="2">
        <v>0</v>
      </c>
      <c r="AF86" s="2">
        <v>0</v>
      </c>
      <c r="AG86" s="74" t="str">
        <v/>
      </c>
    </row>
    <row r="87" spans="29:33" x14ac:dyDescent="0.15">
      <c r="AC87" s="74" t="str">
        <v/>
      </c>
      <c r="AD87" s="2">
        <v>0</v>
      </c>
      <c r="AE87" s="2">
        <v>0</v>
      </c>
      <c r="AF87" s="2">
        <v>0</v>
      </c>
      <c r="AG87" s="74" t="str">
        <v/>
      </c>
    </row>
    <row r="88" spans="29:33" x14ac:dyDescent="0.15">
      <c r="AC88" s="74" t="str">
        <v/>
      </c>
      <c r="AD88" s="2">
        <v>0</v>
      </c>
      <c r="AE88" s="2">
        <v>0</v>
      </c>
      <c r="AF88" s="2">
        <v>0</v>
      </c>
      <c r="AG88" s="74" t="str">
        <v/>
      </c>
    </row>
    <row r="89" spans="29:33" x14ac:dyDescent="0.15">
      <c r="AC89" s="74" t="str">
        <v/>
      </c>
      <c r="AD89" s="2">
        <v>0</v>
      </c>
      <c r="AE89" s="2">
        <v>0</v>
      </c>
      <c r="AF89" s="2">
        <v>0</v>
      </c>
      <c r="AG89" s="74" t="str">
        <v/>
      </c>
    </row>
    <row r="90" spans="29:33" x14ac:dyDescent="0.15">
      <c r="AC90" s="74" t="str">
        <v/>
      </c>
      <c r="AD90" s="2">
        <v>0</v>
      </c>
      <c r="AE90" s="2">
        <v>0</v>
      </c>
      <c r="AF90" s="2">
        <v>0</v>
      </c>
      <c r="AG90" s="74" t="str">
        <v/>
      </c>
    </row>
    <row r="91" spans="29:33" x14ac:dyDescent="0.15">
      <c r="AC91" s="74" t="str">
        <v/>
      </c>
      <c r="AD91" s="2">
        <v>0</v>
      </c>
      <c r="AE91" s="2">
        <v>0</v>
      </c>
      <c r="AF91" s="2">
        <v>0</v>
      </c>
      <c r="AG91" s="74" t="str">
        <v/>
      </c>
    </row>
    <row r="92" spans="29:33" x14ac:dyDescent="0.15">
      <c r="AC92" s="74" t="str">
        <v/>
      </c>
      <c r="AD92" s="2">
        <v>0</v>
      </c>
      <c r="AE92" s="2">
        <v>0</v>
      </c>
      <c r="AF92" s="2">
        <v>0</v>
      </c>
      <c r="AG92" s="74" t="str">
        <v/>
      </c>
    </row>
    <row r="93" spans="29:33" x14ac:dyDescent="0.15">
      <c r="AC93" s="74" t="str">
        <v/>
      </c>
      <c r="AD93" s="2">
        <v>0</v>
      </c>
      <c r="AE93" s="2">
        <v>0</v>
      </c>
      <c r="AF93" s="2">
        <v>0</v>
      </c>
      <c r="AG93" s="74" t="str">
        <v/>
      </c>
    </row>
    <row r="94" spans="29:33" x14ac:dyDescent="0.15">
      <c r="AC94" s="74" t="str">
        <v/>
      </c>
      <c r="AD94" s="2">
        <v>0</v>
      </c>
      <c r="AE94" s="2">
        <v>0</v>
      </c>
      <c r="AF94" s="2">
        <v>0</v>
      </c>
      <c r="AG94" s="74" t="str">
        <v/>
      </c>
    </row>
    <row r="95" spans="29:33" x14ac:dyDescent="0.15">
      <c r="AC95" s="74" t="str">
        <v/>
      </c>
      <c r="AD95" s="2">
        <v>0</v>
      </c>
      <c r="AE95" s="2">
        <v>0</v>
      </c>
      <c r="AF95" s="2">
        <v>0</v>
      </c>
      <c r="AG95" s="74" t="str">
        <v/>
      </c>
    </row>
    <row r="96" spans="29:33" x14ac:dyDescent="0.15">
      <c r="AC96" s="74" t="str">
        <v/>
      </c>
      <c r="AD96" s="2">
        <v>0</v>
      </c>
      <c r="AE96" s="2">
        <v>0</v>
      </c>
      <c r="AF96" s="2">
        <v>0</v>
      </c>
      <c r="AG96" s="74" t="str">
        <v/>
      </c>
    </row>
    <row r="97" spans="29:33" x14ac:dyDescent="0.15">
      <c r="AC97" s="74" t="str">
        <v/>
      </c>
      <c r="AD97" s="2">
        <v>0</v>
      </c>
      <c r="AE97" s="2">
        <v>0</v>
      </c>
      <c r="AF97" s="2">
        <v>0</v>
      </c>
      <c r="AG97" s="74" t="str">
        <v/>
      </c>
    </row>
    <row r="98" spans="29:33" x14ac:dyDescent="0.15">
      <c r="AC98" s="74" t="str">
        <v/>
      </c>
      <c r="AD98" s="2">
        <v>0</v>
      </c>
      <c r="AE98" s="2">
        <v>0</v>
      </c>
      <c r="AF98" s="2">
        <v>0</v>
      </c>
      <c r="AG98" s="74" t="str">
        <v/>
      </c>
    </row>
    <row r="99" spans="29:33" x14ac:dyDescent="0.15">
      <c r="AC99" s="74" t="str">
        <v/>
      </c>
      <c r="AD99" s="2">
        <v>0</v>
      </c>
      <c r="AE99" s="2">
        <v>0</v>
      </c>
      <c r="AF99" s="2">
        <v>0</v>
      </c>
      <c r="AG99" s="74" t="str">
        <v/>
      </c>
    </row>
    <row r="100" spans="29:33" x14ac:dyDescent="0.15">
      <c r="AC100" s="74" t="str">
        <v/>
      </c>
      <c r="AD100" s="2">
        <v>0</v>
      </c>
      <c r="AE100" s="2">
        <v>0</v>
      </c>
      <c r="AF100" s="2">
        <v>0</v>
      </c>
      <c r="AG100" s="74" t="str">
        <v/>
      </c>
    </row>
    <row r="101" spans="29:33" x14ac:dyDescent="0.15">
      <c r="AC101" s="74" t="str">
        <v/>
      </c>
      <c r="AD101" s="2">
        <v>0</v>
      </c>
      <c r="AE101" s="2">
        <v>0</v>
      </c>
      <c r="AF101" s="2">
        <v>0</v>
      </c>
      <c r="AG101" s="74" t="str">
        <v/>
      </c>
    </row>
    <row r="102" spans="29:33" x14ac:dyDescent="0.15">
      <c r="AC102" s="74" t="str">
        <v/>
      </c>
      <c r="AD102" s="2">
        <v>0</v>
      </c>
      <c r="AE102" s="2">
        <v>0</v>
      </c>
      <c r="AF102" s="2">
        <v>0</v>
      </c>
      <c r="AG102" s="74" t="str">
        <v/>
      </c>
    </row>
    <row r="103" spans="29:33" x14ac:dyDescent="0.15">
      <c r="AC103" s="74" t="str">
        <v/>
      </c>
      <c r="AD103" s="2">
        <v>0</v>
      </c>
      <c r="AE103" s="2">
        <v>0</v>
      </c>
      <c r="AF103" s="2">
        <v>0</v>
      </c>
      <c r="AG103" s="74" t="str">
        <v/>
      </c>
    </row>
    <row r="104" spans="29:33" x14ac:dyDescent="0.15">
      <c r="AC104" s="74" t="str">
        <v/>
      </c>
      <c r="AD104" s="2">
        <v>0</v>
      </c>
      <c r="AE104" s="2">
        <v>0</v>
      </c>
      <c r="AF104" s="2">
        <v>0</v>
      </c>
      <c r="AG104" s="74" t="str">
        <v/>
      </c>
    </row>
    <row r="105" spans="29:33" x14ac:dyDescent="0.15">
      <c r="AC105" s="74" t="str">
        <v/>
      </c>
      <c r="AD105" s="2">
        <v>0</v>
      </c>
      <c r="AE105" s="2">
        <v>0</v>
      </c>
      <c r="AF105" s="2">
        <v>0</v>
      </c>
      <c r="AG105" s="74" t="str">
        <v/>
      </c>
    </row>
    <row r="106" spans="29:33" x14ac:dyDescent="0.15">
      <c r="AC106" s="74" t="str">
        <v/>
      </c>
      <c r="AD106" s="2">
        <v>0</v>
      </c>
      <c r="AE106" s="2">
        <v>0</v>
      </c>
      <c r="AF106" s="2">
        <v>0</v>
      </c>
      <c r="AG106" s="74" t="str">
        <v/>
      </c>
    </row>
    <row r="107" spans="29:33" x14ac:dyDescent="0.15">
      <c r="AC107" s="74" t="str">
        <v/>
      </c>
      <c r="AD107" s="2">
        <v>0</v>
      </c>
      <c r="AE107" s="2">
        <v>0</v>
      </c>
      <c r="AF107" s="2">
        <v>0</v>
      </c>
      <c r="AG107" s="74" t="str">
        <v/>
      </c>
    </row>
    <row r="108" spans="29:33" x14ac:dyDescent="0.15">
      <c r="AC108" s="74" t="str">
        <v/>
      </c>
      <c r="AD108" s="2">
        <v>0</v>
      </c>
      <c r="AE108" s="2">
        <v>0</v>
      </c>
      <c r="AF108" s="2">
        <v>0</v>
      </c>
      <c r="AG108" s="74" t="str">
        <v/>
      </c>
    </row>
    <row r="109" spans="29:33" x14ac:dyDescent="0.15">
      <c r="AC109" s="74" t="str">
        <v/>
      </c>
      <c r="AD109" s="2">
        <v>0</v>
      </c>
      <c r="AE109" s="2">
        <v>0</v>
      </c>
      <c r="AF109" s="2">
        <v>0</v>
      </c>
      <c r="AG109" s="74" t="str">
        <v/>
      </c>
    </row>
    <row r="110" spans="29:33" x14ac:dyDescent="0.15">
      <c r="AC110" s="74" t="str">
        <v/>
      </c>
      <c r="AD110" s="2">
        <v>0</v>
      </c>
      <c r="AE110" s="2">
        <v>0</v>
      </c>
      <c r="AF110" s="2">
        <v>0</v>
      </c>
      <c r="AG110" s="74" t="str">
        <v/>
      </c>
    </row>
    <row r="111" spans="29:33" x14ac:dyDescent="0.15">
      <c r="AC111" s="74" t="str">
        <v/>
      </c>
      <c r="AD111" s="2">
        <v>0</v>
      </c>
      <c r="AE111" s="2">
        <v>0</v>
      </c>
      <c r="AF111" s="2">
        <v>0</v>
      </c>
      <c r="AG111" s="74" t="str">
        <v/>
      </c>
    </row>
    <row r="112" spans="29:33" x14ac:dyDescent="0.15">
      <c r="AC112" s="74" t="str">
        <v/>
      </c>
      <c r="AD112" s="2">
        <v>0</v>
      </c>
      <c r="AE112" s="2">
        <v>0</v>
      </c>
      <c r="AF112" s="2">
        <v>0</v>
      </c>
      <c r="AG112" s="74" t="str">
        <v/>
      </c>
    </row>
    <row r="113" spans="29:33" x14ac:dyDescent="0.15">
      <c r="AC113" s="74" t="str">
        <v/>
      </c>
      <c r="AD113" s="2">
        <v>0</v>
      </c>
      <c r="AE113" s="2">
        <v>0</v>
      </c>
      <c r="AF113" s="2">
        <v>0</v>
      </c>
      <c r="AG113" s="74" t="str">
        <v/>
      </c>
    </row>
    <row r="114" spans="29:33" x14ac:dyDescent="0.15">
      <c r="AC114" s="74" t="str">
        <v/>
      </c>
      <c r="AD114" s="2">
        <v>0</v>
      </c>
      <c r="AE114" s="2">
        <v>0</v>
      </c>
      <c r="AF114" s="2">
        <v>0</v>
      </c>
      <c r="AG114" s="74" t="str">
        <v/>
      </c>
    </row>
    <row r="115" spans="29:33" x14ac:dyDescent="0.15">
      <c r="AC115" s="74" t="str">
        <v/>
      </c>
      <c r="AD115" s="2">
        <v>0</v>
      </c>
      <c r="AE115" s="2">
        <v>0</v>
      </c>
      <c r="AF115" s="2">
        <v>0</v>
      </c>
      <c r="AG115" s="74" t="str">
        <v/>
      </c>
    </row>
    <row r="116" spans="29:33" x14ac:dyDescent="0.15">
      <c r="AC116" s="74" t="str">
        <v/>
      </c>
      <c r="AD116" s="2">
        <v>0</v>
      </c>
      <c r="AE116" s="2">
        <v>0</v>
      </c>
      <c r="AF116" s="2">
        <v>0</v>
      </c>
      <c r="AG116" s="74" t="str">
        <v/>
      </c>
    </row>
    <row r="117" spans="29:33" x14ac:dyDescent="0.15">
      <c r="AC117" s="74" t="str">
        <v/>
      </c>
      <c r="AD117" s="2">
        <v>0</v>
      </c>
      <c r="AE117" s="2">
        <v>0</v>
      </c>
      <c r="AF117" s="2">
        <v>0</v>
      </c>
      <c r="AG117" s="74" t="str">
        <v/>
      </c>
    </row>
    <row r="118" spans="29:33" x14ac:dyDescent="0.15">
      <c r="AC118" s="74" t="str">
        <v/>
      </c>
      <c r="AD118" s="2">
        <v>0</v>
      </c>
      <c r="AE118" s="2">
        <v>0</v>
      </c>
      <c r="AF118" s="2">
        <v>0</v>
      </c>
      <c r="AG118" s="74" t="str">
        <v/>
      </c>
    </row>
    <row r="119" spans="29:33" x14ac:dyDescent="0.15">
      <c r="AC119" s="74" t="str">
        <v/>
      </c>
      <c r="AD119" s="2">
        <v>0</v>
      </c>
      <c r="AE119" s="2">
        <v>0</v>
      </c>
      <c r="AF119" s="2">
        <v>0</v>
      </c>
      <c r="AG119" s="74" t="str">
        <v/>
      </c>
    </row>
    <row r="120" spans="29:33" x14ac:dyDescent="0.15">
      <c r="AC120" s="74" t="str">
        <v/>
      </c>
      <c r="AD120" s="2">
        <v>0</v>
      </c>
      <c r="AE120" s="2">
        <v>0</v>
      </c>
      <c r="AF120" s="2">
        <v>0</v>
      </c>
      <c r="AG120" s="74" t="str">
        <v/>
      </c>
    </row>
    <row r="121" spans="29:33" x14ac:dyDescent="0.15">
      <c r="AC121" s="74" t="str">
        <v/>
      </c>
      <c r="AD121" s="2">
        <v>0</v>
      </c>
      <c r="AE121" s="2">
        <v>0</v>
      </c>
      <c r="AF121" s="2">
        <v>0</v>
      </c>
      <c r="AG121" s="74" t="str">
        <v/>
      </c>
    </row>
    <row r="122" spans="29:33" x14ac:dyDescent="0.15">
      <c r="AC122" s="74" t="str">
        <v/>
      </c>
      <c r="AD122" s="2">
        <v>0</v>
      </c>
      <c r="AE122" s="2">
        <v>0</v>
      </c>
      <c r="AF122" s="2">
        <v>0</v>
      </c>
      <c r="AG122" s="74" t="str">
        <v/>
      </c>
    </row>
    <row r="123" spans="29:33" x14ac:dyDescent="0.15">
      <c r="AC123" s="74" t="str">
        <v/>
      </c>
      <c r="AD123" s="2">
        <v>0</v>
      </c>
      <c r="AE123" s="2">
        <v>0</v>
      </c>
      <c r="AF123" s="2">
        <v>0</v>
      </c>
      <c r="AG123" s="74" t="str">
        <v/>
      </c>
    </row>
    <row r="124" spans="29:33" x14ac:dyDescent="0.15">
      <c r="AC124" s="74" t="str">
        <v/>
      </c>
      <c r="AD124" s="2">
        <v>0</v>
      </c>
      <c r="AE124" s="2">
        <v>0</v>
      </c>
      <c r="AF124" s="2">
        <v>0</v>
      </c>
      <c r="AG124" s="74" t="str">
        <v/>
      </c>
    </row>
    <row r="125" spans="29:33" x14ac:dyDescent="0.15">
      <c r="AC125" s="74" t="str">
        <v/>
      </c>
      <c r="AD125" s="2">
        <v>0</v>
      </c>
      <c r="AE125" s="2">
        <v>0</v>
      </c>
      <c r="AF125" s="2">
        <v>0</v>
      </c>
      <c r="AG125" s="74" t="str">
        <v/>
      </c>
    </row>
    <row r="126" spans="29:33" x14ac:dyDescent="0.15">
      <c r="AC126" s="74" t="str">
        <v/>
      </c>
      <c r="AD126" s="2">
        <v>0</v>
      </c>
      <c r="AE126" s="2">
        <v>0</v>
      </c>
      <c r="AF126" s="2">
        <v>0</v>
      </c>
      <c r="AG126" s="74" t="str">
        <v/>
      </c>
    </row>
    <row r="127" spans="29:33" x14ac:dyDescent="0.15">
      <c r="AC127" s="74" t="str">
        <v/>
      </c>
      <c r="AD127" s="2">
        <v>0</v>
      </c>
      <c r="AE127" s="2">
        <v>0</v>
      </c>
      <c r="AF127" s="2">
        <v>0</v>
      </c>
      <c r="AG127" s="74" t="str">
        <v/>
      </c>
    </row>
    <row r="128" spans="29:33" x14ac:dyDescent="0.15">
      <c r="AC128" s="74" t="str">
        <v/>
      </c>
      <c r="AD128" s="2">
        <v>0</v>
      </c>
      <c r="AE128" s="2">
        <v>0</v>
      </c>
      <c r="AF128" s="2">
        <v>0</v>
      </c>
      <c r="AG128" s="74" t="str">
        <v/>
      </c>
    </row>
    <row r="129" spans="29:33" x14ac:dyDescent="0.15">
      <c r="AC129" s="74" t="str">
        <v/>
      </c>
      <c r="AD129" s="2">
        <v>0</v>
      </c>
      <c r="AE129" s="2">
        <v>0</v>
      </c>
      <c r="AF129" s="2">
        <v>0</v>
      </c>
      <c r="AG129" s="74" t="str">
        <v/>
      </c>
    </row>
    <row r="130" spans="29:33" x14ac:dyDescent="0.15">
      <c r="AC130" s="74" t="str">
        <v/>
      </c>
      <c r="AD130" s="2">
        <v>0</v>
      </c>
      <c r="AE130" s="2">
        <v>0</v>
      </c>
      <c r="AF130" s="2">
        <v>0</v>
      </c>
      <c r="AG130" s="74" t="str">
        <v/>
      </c>
    </row>
    <row r="131" spans="29:33" x14ac:dyDescent="0.15">
      <c r="AC131" s="74" t="str">
        <v/>
      </c>
      <c r="AD131" s="2">
        <v>0</v>
      </c>
      <c r="AE131" s="2">
        <v>0</v>
      </c>
      <c r="AF131" s="2">
        <v>0</v>
      </c>
      <c r="AG131" s="74" t="str">
        <v/>
      </c>
    </row>
    <row r="132" spans="29:33" x14ac:dyDescent="0.15">
      <c r="AC132" s="74" t="str">
        <v/>
      </c>
      <c r="AD132" s="2">
        <v>0</v>
      </c>
      <c r="AE132" s="2">
        <v>0</v>
      </c>
      <c r="AF132" s="2">
        <v>0</v>
      </c>
      <c r="AG132" s="74" t="str">
        <v/>
      </c>
    </row>
    <row r="133" spans="29:33" x14ac:dyDescent="0.15">
      <c r="AC133" s="74" t="str">
        <v/>
      </c>
      <c r="AD133" s="2">
        <v>0</v>
      </c>
      <c r="AE133" s="2">
        <v>0</v>
      </c>
      <c r="AF133" s="2">
        <v>0</v>
      </c>
      <c r="AG133" s="74" t="str">
        <v/>
      </c>
    </row>
    <row r="134" spans="29:33" x14ac:dyDescent="0.15">
      <c r="AC134" s="74" t="str">
        <v/>
      </c>
      <c r="AD134" s="2">
        <v>0</v>
      </c>
      <c r="AE134" s="2">
        <v>0</v>
      </c>
      <c r="AF134" s="2">
        <v>0</v>
      </c>
      <c r="AG134" s="74" t="str">
        <v/>
      </c>
    </row>
    <row r="135" spans="29:33" x14ac:dyDescent="0.15">
      <c r="AC135" s="74" t="str">
        <v/>
      </c>
      <c r="AD135" s="2">
        <v>0</v>
      </c>
      <c r="AE135" s="2">
        <v>0</v>
      </c>
      <c r="AF135" s="2">
        <v>0</v>
      </c>
      <c r="AG135" s="74" t="str">
        <v/>
      </c>
    </row>
    <row r="136" spans="29:33" x14ac:dyDescent="0.15">
      <c r="AC136" s="74" t="str">
        <v/>
      </c>
      <c r="AD136" s="2">
        <v>0</v>
      </c>
      <c r="AE136" s="2">
        <v>0</v>
      </c>
      <c r="AF136" s="2">
        <v>0</v>
      </c>
      <c r="AG136" s="74" t="str">
        <v/>
      </c>
    </row>
    <row r="137" spans="29:33" x14ac:dyDescent="0.15">
      <c r="AC137" s="74" t="str">
        <v/>
      </c>
      <c r="AD137" s="2">
        <v>0</v>
      </c>
      <c r="AE137" s="2">
        <v>0</v>
      </c>
      <c r="AF137" s="2">
        <v>0</v>
      </c>
      <c r="AG137" s="74" t="str">
        <v/>
      </c>
    </row>
    <row r="138" spans="29:33" x14ac:dyDescent="0.15">
      <c r="AC138" s="74" t="str">
        <v/>
      </c>
      <c r="AD138" s="2">
        <v>0</v>
      </c>
      <c r="AE138" s="2">
        <v>0</v>
      </c>
      <c r="AF138" s="2">
        <v>0</v>
      </c>
      <c r="AG138" s="74" t="str">
        <v/>
      </c>
    </row>
    <row r="139" spans="29:33" x14ac:dyDescent="0.15">
      <c r="AC139" s="74" t="str">
        <v/>
      </c>
      <c r="AD139" s="2">
        <v>0</v>
      </c>
      <c r="AE139" s="2">
        <v>0</v>
      </c>
      <c r="AF139" s="2">
        <v>0</v>
      </c>
      <c r="AG139" s="74" t="str">
        <v/>
      </c>
    </row>
    <row r="140" spans="29:33" x14ac:dyDescent="0.15">
      <c r="AC140" s="74" t="str">
        <v/>
      </c>
      <c r="AD140" s="2">
        <v>0</v>
      </c>
      <c r="AE140" s="2">
        <v>0</v>
      </c>
      <c r="AF140" s="2">
        <v>0</v>
      </c>
      <c r="AG140" s="74" t="str">
        <v/>
      </c>
    </row>
    <row r="141" spans="29:33" x14ac:dyDescent="0.15">
      <c r="AC141" s="74" t="str">
        <v/>
      </c>
      <c r="AD141" s="2">
        <v>0</v>
      </c>
      <c r="AE141" s="2">
        <v>0</v>
      </c>
      <c r="AF141" s="2">
        <v>0</v>
      </c>
      <c r="AG141" s="74" t="str">
        <v/>
      </c>
    </row>
    <row r="142" spans="29:33" x14ac:dyDescent="0.15">
      <c r="AC142" s="74" t="str">
        <v/>
      </c>
      <c r="AD142" s="2">
        <v>0</v>
      </c>
      <c r="AE142" s="2">
        <v>0</v>
      </c>
      <c r="AF142" s="2">
        <v>0</v>
      </c>
      <c r="AG142" s="74" t="str">
        <v/>
      </c>
    </row>
    <row r="143" spans="29:33" x14ac:dyDescent="0.15">
      <c r="AC143" s="74" t="str">
        <v/>
      </c>
      <c r="AD143" s="2">
        <v>0</v>
      </c>
      <c r="AE143" s="2">
        <v>0</v>
      </c>
      <c r="AF143" s="2">
        <v>0</v>
      </c>
      <c r="AG143" s="74" t="str">
        <v/>
      </c>
    </row>
    <row r="144" spans="29:33" x14ac:dyDescent="0.15">
      <c r="AC144" s="74" t="str">
        <v/>
      </c>
      <c r="AD144" s="2">
        <v>0</v>
      </c>
      <c r="AE144" s="2">
        <v>0</v>
      </c>
      <c r="AF144" s="2">
        <v>0</v>
      </c>
      <c r="AG144" s="74" t="str">
        <v/>
      </c>
    </row>
    <row r="145" spans="29:33" x14ac:dyDescent="0.15">
      <c r="AC145" s="74" t="str">
        <v/>
      </c>
      <c r="AD145" s="2">
        <v>0</v>
      </c>
      <c r="AE145" s="2">
        <v>0</v>
      </c>
      <c r="AF145" s="2">
        <v>0</v>
      </c>
      <c r="AG145" s="74" t="str">
        <v/>
      </c>
    </row>
    <row r="146" spans="29:33" x14ac:dyDescent="0.15">
      <c r="AC146" s="74" t="str">
        <v/>
      </c>
      <c r="AD146" s="2">
        <v>0</v>
      </c>
      <c r="AE146" s="2">
        <v>0</v>
      </c>
      <c r="AF146" s="2">
        <v>0</v>
      </c>
      <c r="AG146" s="74" t="str">
        <v/>
      </c>
    </row>
    <row r="147" spans="29:33" x14ac:dyDescent="0.15">
      <c r="AC147" s="74" t="str">
        <v/>
      </c>
      <c r="AD147" s="2">
        <v>0</v>
      </c>
      <c r="AE147" s="2">
        <v>0</v>
      </c>
      <c r="AF147" s="2">
        <v>0</v>
      </c>
      <c r="AG147" s="74" t="str">
        <v/>
      </c>
    </row>
    <row r="148" spans="29:33" x14ac:dyDescent="0.15">
      <c r="AC148" s="74" t="str">
        <v/>
      </c>
      <c r="AD148" s="2">
        <v>0</v>
      </c>
      <c r="AE148" s="2">
        <v>0</v>
      </c>
      <c r="AF148" s="2">
        <v>0</v>
      </c>
      <c r="AG148" s="74" t="str">
        <v/>
      </c>
    </row>
    <row r="149" spans="29:33" x14ac:dyDescent="0.15">
      <c r="AC149" s="74" t="str">
        <v/>
      </c>
      <c r="AD149" s="2">
        <v>0</v>
      </c>
      <c r="AE149" s="2">
        <v>0</v>
      </c>
      <c r="AF149" s="2">
        <v>0</v>
      </c>
      <c r="AG149" s="74" t="str">
        <v/>
      </c>
    </row>
    <row r="150" spans="29:33" x14ac:dyDescent="0.15">
      <c r="AC150" s="74" t="str">
        <v/>
      </c>
      <c r="AD150" s="2">
        <v>0</v>
      </c>
      <c r="AE150" s="2">
        <v>0</v>
      </c>
      <c r="AF150" s="2">
        <v>0</v>
      </c>
      <c r="AG150" s="74" t="str">
        <v/>
      </c>
    </row>
    <row r="151" spans="29:33" x14ac:dyDescent="0.15">
      <c r="AC151" s="74" t="str">
        <v/>
      </c>
      <c r="AD151" s="2">
        <v>0</v>
      </c>
      <c r="AE151" s="2">
        <v>0</v>
      </c>
      <c r="AF151" s="2">
        <v>0</v>
      </c>
      <c r="AG151" s="74" t="str">
        <v/>
      </c>
    </row>
    <row r="152" spans="29:33" x14ac:dyDescent="0.15">
      <c r="AC152" s="74" t="str">
        <v/>
      </c>
      <c r="AD152" s="2">
        <v>0</v>
      </c>
      <c r="AE152" s="2">
        <v>0</v>
      </c>
      <c r="AF152" s="2">
        <v>0</v>
      </c>
      <c r="AG152" s="74" t="str">
        <v/>
      </c>
    </row>
    <row r="153" spans="29:33" x14ac:dyDescent="0.15">
      <c r="AC153" s="74" t="str">
        <v/>
      </c>
      <c r="AD153" s="2">
        <v>0</v>
      </c>
      <c r="AE153" s="2">
        <v>0</v>
      </c>
      <c r="AF153" s="2">
        <v>0</v>
      </c>
      <c r="AG153" s="74" t="str">
        <v/>
      </c>
    </row>
    <row r="154" spans="29:33" x14ac:dyDescent="0.15">
      <c r="AC154" s="74" t="str">
        <v/>
      </c>
      <c r="AD154" s="2">
        <v>0</v>
      </c>
      <c r="AE154" s="2">
        <v>0</v>
      </c>
      <c r="AF154" s="2">
        <v>0</v>
      </c>
      <c r="AG154" s="74" t="str">
        <v/>
      </c>
    </row>
    <row r="155" spans="29:33" x14ac:dyDescent="0.15">
      <c r="AC155" s="74" t="str">
        <v/>
      </c>
      <c r="AD155" s="2">
        <v>0</v>
      </c>
      <c r="AE155" s="2">
        <v>0</v>
      </c>
      <c r="AF155" s="2">
        <v>0</v>
      </c>
      <c r="AG155" s="74" t="str">
        <v/>
      </c>
    </row>
    <row r="156" spans="29:33" x14ac:dyDescent="0.15">
      <c r="AC156" s="74" t="str">
        <v/>
      </c>
      <c r="AD156" s="2">
        <v>0</v>
      </c>
      <c r="AE156" s="2">
        <v>0</v>
      </c>
      <c r="AF156" s="2">
        <v>0</v>
      </c>
      <c r="AG156" s="74" t="str">
        <v/>
      </c>
    </row>
    <row r="157" spans="29:33" x14ac:dyDescent="0.15">
      <c r="AC157" s="74" t="str">
        <v/>
      </c>
      <c r="AD157" s="2">
        <v>0</v>
      </c>
      <c r="AE157" s="2">
        <v>0</v>
      </c>
      <c r="AF157" s="2">
        <v>0</v>
      </c>
      <c r="AG157" s="74" t="str">
        <v/>
      </c>
    </row>
    <row r="158" spans="29:33" x14ac:dyDescent="0.15">
      <c r="AC158" s="74" t="str">
        <v/>
      </c>
      <c r="AD158" s="2">
        <v>0</v>
      </c>
      <c r="AE158" s="2">
        <v>0</v>
      </c>
      <c r="AF158" s="2">
        <v>0</v>
      </c>
      <c r="AG158" s="74" t="str">
        <v/>
      </c>
    </row>
    <row r="159" spans="29:33" x14ac:dyDescent="0.15">
      <c r="AC159" s="74" t="str">
        <v/>
      </c>
      <c r="AD159" s="2">
        <v>0</v>
      </c>
      <c r="AE159" s="2">
        <v>0</v>
      </c>
      <c r="AF159" s="2">
        <v>0</v>
      </c>
      <c r="AG159" s="74" t="str">
        <v/>
      </c>
    </row>
    <row r="160" spans="29:33" x14ac:dyDescent="0.15">
      <c r="AC160" s="74" t="str">
        <v/>
      </c>
      <c r="AD160" s="2">
        <v>0</v>
      </c>
      <c r="AE160" s="2">
        <v>0</v>
      </c>
      <c r="AF160" s="2">
        <v>0</v>
      </c>
      <c r="AG160" s="74" t="str">
        <v/>
      </c>
    </row>
    <row r="161" spans="29:33" x14ac:dyDescent="0.15">
      <c r="AC161" s="74" t="str">
        <v/>
      </c>
      <c r="AD161" s="2">
        <v>0</v>
      </c>
      <c r="AE161" s="2">
        <v>0</v>
      </c>
      <c r="AF161" s="2">
        <v>0</v>
      </c>
      <c r="AG161" s="74" t="str">
        <v/>
      </c>
    </row>
    <row r="162" spans="29:33" x14ac:dyDescent="0.15">
      <c r="AC162" s="74" t="str">
        <v/>
      </c>
      <c r="AD162" s="2">
        <v>0</v>
      </c>
      <c r="AE162" s="2">
        <v>0</v>
      </c>
      <c r="AF162" s="2">
        <v>0</v>
      </c>
      <c r="AG162" s="74" t="str">
        <v/>
      </c>
    </row>
    <row r="163" spans="29:33" x14ac:dyDescent="0.15">
      <c r="AC163" s="74" t="str">
        <v/>
      </c>
      <c r="AD163" s="2">
        <v>0</v>
      </c>
      <c r="AE163" s="2">
        <v>0</v>
      </c>
      <c r="AF163" s="2">
        <v>0</v>
      </c>
      <c r="AG163" s="74" t="str">
        <v/>
      </c>
    </row>
    <row r="164" spans="29:33" x14ac:dyDescent="0.15">
      <c r="AC164" s="74" t="str">
        <v/>
      </c>
      <c r="AD164" s="2">
        <v>0</v>
      </c>
      <c r="AE164" s="2">
        <v>0</v>
      </c>
      <c r="AF164" s="2">
        <v>0</v>
      </c>
      <c r="AG164" s="74" t="str">
        <v/>
      </c>
    </row>
    <row r="165" spans="29:33" x14ac:dyDescent="0.15">
      <c r="AC165" s="74" t="str">
        <v/>
      </c>
      <c r="AD165" s="2">
        <v>0</v>
      </c>
      <c r="AE165" s="2">
        <v>0</v>
      </c>
      <c r="AF165" s="2">
        <v>0</v>
      </c>
      <c r="AG165" s="74" t="str">
        <v/>
      </c>
    </row>
    <row r="166" spans="29:33" x14ac:dyDescent="0.15">
      <c r="AC166" s="74" t="str">
        <v/>
      </c>
      <c r="AD166" s="2">
        <v>0</v>
      </c>
      <c r="AE166" s="2">
        <v>0</v>
      </c>
      <c r="AF166" s="2">
        <v>0</v>
      </c>
      <c r="AG166" s="74" t="str">
        <v/>
      </c>
    </row>
    <row r="167" spans="29:33" x14ac:dyDescent="0.15">
      <c r="AC167" s="74" t="str">
        <v/>
      </c>
      <c r="AD167" s="2">
        <v>0</v>
      </c>
      <c r="AE167" s="2">
        <v>0</v>
      </c>
      <c r="AF167" s="2">
        <v>0</v>
      </c>
      <c r="AG167" s="74" t="str">
        <v/>
      </c>
    </row>
    <row r="168" spans="29:33" x14ac:dyDescent="0.15">
      <c r="AC168" s="74" t="str">
        <v/>
      </c>
      <c r="AD168" s="2">
        <v>0</v>
      </c>
      <c r="AE168" s="2">
        <v>0</v>
      </c>
      <c r="AF168" s="2">
        <v>0</v>
      </c>
      <c r="AG168" s="74" t="str">
        <v/>
      </c>
    </row>
    <row r="169" spans="29:33" x14ac:dyDescent="0.15">
      <c r="AC169" s="74" t="str">
        <v/>
      </c>
      <c r="AD169" s="2">
        <v>0</v>
      </c>
      <c r="AE169" s="2">
        <v>0</v>
      </c>
      <c r="AF169" s="2">
        <v>0</v>
      </c>
      <c r="AG169" s="74" t="str">
        <v/>
      </c>
    </row>
    <row r="170" spans="29:33" x14ac:dyDescent="0.15">
      <c r="AC170" s="74" t="str">
        <v/>
      </c>
      <c r="AD170" s="2">
        <v>0</v>
      </c>
      <c r="AE170" s="2">
        <v>0</v>
      </c>
      <c r="AF170" s="2">
        <v>0</v>
      </c>
      <c r="AG170" s="74" t="str">
        <v/>
      </c>
    </row>
    <row r="171" spans="29:33" x14ac:dyDescent="0.15">
      <c r="AC171" s="74" t="str">
        <v/>
      </c>
      <c r="AD171" s="2">
        <v>0</v>
      </c>
      <c r="AE171" s="2">
        <v>0</v>
      </c>
      <c r="AF171" s="2">
        <v>0</v>
      </c>
      <c r="AG171" s="74" t="str">
        <v/>
      </c>
    </row>
    <row r="172" spans="29:33" x14ac:dyDescent="0.15">
      <c r="AC172" s="74" t="str">
        <v/>
      </c>
      <c r="AD172" s="2">
        <v>0</v>
      </c>
      <c r="AE172" s="2">
        <v>0</v>
      </c>
      <c r="AF172" s="2">
        <v>0</v>
      </c>
      <c r="AG172" s="74" t="str">
        <v/>
      </c>
    </row>
    <row r="173" spans="29:33" x14ac:dyDescent="0.15">
      <c r="AC173" s="74" t="str">
        <v/>
      </c>
      <c r="AD173" s="2">
        <v>0</v>
      </c>
      <c r="AE173" s="2">
        <v>0</v>
      </c>
      <c r="AF173" s="2">
        <v>0</v>
      </c>
      <c r="AG173" s="74" t="str">
        <v/>
      </c>
    </row>
    <row r="174" spans="29:33" x14ac:dyDescent="0.15">
      <c r="AC174" s="74" t="str">
        <v/>
      </c>
      <c r="AD174" s="2">
        <v>0</v>
      </c>
      <c r="AE174" s="2">
        <v>0</v>
      </c>
      <c r="AF174" s="2">
        <v>0</v>
      </c>
      <c r="AG174" s="74" t="str">
        <v/>
      </c>
    </row>
    <row r="175" spans="29:33" x14ac:dyDescent="0.15">
      <c r="AC175" s="74" t="str">
        <v/>
      </c>
      <c r="AD175" s="2">
        <v>0</v>
      </c>
      <c r="AE175" s="2">
        <v>0</v>
      </c>
      <c r="AF175" s="2">
        <v>0</v>
      </c>
      <c r="AG175" s="74" t="str">
        <v/>
      </c>
    </row>
    <row r="176" spans="29:33" x14ac:dyDescent="0.15">
      <c r="AC176" s="74" t="str">
        <v/>
      </c>
      <c r="AD176" s="2">
        <v>0</v>
      </c>
      <c r="AE176" s="2">
        <v>0</v>
      </c>
      <c r="AF176" s="2">
        <v>0</v>
      </c>
      <c r="AG176" s="74" t="str">
        <v/>
      </c>
    </row>
    <row r="177" spans="29:33" x14ac:dyDescent="0.15">
      <c r="AC177" s="74" t="str">
        <v/>
      </c>
      <c r="AD177" s="2">
        <v>0</v>
      </c>
      <c r="AE177" s="2">
        <v>0</v>
      </c>
      <c r="AF177" s="2">
        <v>0</v>
      </c>
      <c r="AG177" s="74" t="str">
        <v/>
      </c>
    </row>
    <row r="178" spans="29:33" x14ac:dyDescent="0.15">
      <c r="AC178" s="74" t="str">
        <v/>
      </c>
      <c r="AD178" s="2">
        <v>0</v>
      </c>
      <c r="AE178" s="2">
        <v>0</v>
      </c>
      <c r="AF178" s="2">
        <v>0</v>
      </c>
      <c r="AG178" s="74" t="str">
        <v/>
      </c>
    </row>
    <row r="179" spans="29:33" x14ac:dyDescent="0.15">
      <c r="AC179" s="74" t="str">
        <v/>
      </c>
      <c r="AD179" s="2">
        <v>0</v>
      </c>
      <c r="AE179" s="2">
        <v>0</v>
      </c>
      <c r="AF179" s="2">
        <v>0</v>
      </c>
      <c r="AG179" s="74" t="str">
        <v/>
      </c>
    </row>
    <row r="180" spans="29:33" x14ac:dyDescent="0.15">
      <c r="AC180" s="74" t="str">
        <v/>
      </c>
      <c r="AD180" s="2">
        <v>0</v>
      </c>
      <c r="AE180" s="2">
        <v>0</v>
      </c>
      <c r="AF180" s="2">
        <v>0</v>
      </c>
      <c r="AG180" s="74" t="str">
        <v/>
      </c>
    </row>
    <row r="181" spans="29:33" x14ac:dyDescent="0.15">
      <c r="AC181" s="74" t="str">
        <v/>
      </c>
      <c r="AD181" s="2">
        <v>0</v>
      </c>
      <c r="AE181" s="2">
        <v>0</v>
      </c>
      <c r="AF181" s="2">
        <v>0</v>
      </c>
      <c r="AG181" s="74" t="str">
        <v/>
      </c>
    </row>
    <row r="182" spans="29:33" x14ac:dyDescent="0.15">
      <c r="AC182" s="74" t="str">
        <v/>
      </c>
      <c r="AD182" s="2">
        <v>0</v>
      </c>
      <c r="AE182" s="2">
        <v>0</v>
      </c>
      <c r="AF182" s="2">
        <v>0</v>
      </c>
      <c r="AG182" s="74" t="str">
        <v/>
      </c>
    </row>
    <row r="183" spans="29:33" x14ac:dyDescent="0.15">
      <c r="AC183" s="74" t="str">
        <v/>
      </c>
      <c r="AD183" s="2">
        <v>0</v>
      </c>
      <c r="AE183" s="2">
        <v>0</v>
      </c>
      <c r="AF183" s="2">
        <v>0</v>
      </c>
      <c r="AG183" s="74" t="str">
        <v/>
      </c>
    </row>
    <row r="184" spans="29:33" x14ac:dyDescent="0.15">
      <c r="AC184" s="74" t="str">
        <v/>
      </c>
      <c r="AD184" s="2">
        <v>0</v>
      </c>
      <c r="AE184" s="2">
        <v>0</v>
      </c>
      <c r="AF184" s="2">
        <v>0</v>
      </c>
      <c r="AG184" s="74" t="str">
        <v/>
      </c>
    </row>
    <row r="185" spans="29:33" x14ac:dyDescent="0.15">
      <c r="AC185" s="74" t="str">
        <v/>
      </c>
      <c r="AD185" s="2">
        <v>0</v>
      </c>
      <c r="AE185" s="2">
        <v>0</v>
      </c>
      <c r="AF185" s="2">
        <v>0</v>
      </c>
      <c r="AG185" s="74" t="str">
        <v/>
      </c>
    </row>
    <row r="186" spans="29:33" x14ac:dyDescent="0.15">
      <c r="AC186" s="74" t="str">
        <v/>
      </c>
      <c r="AD186" s="2">
        <v>0</v>
      </c>
      <c r="AE186" s="2">
        <v>0</v>
      </c>
      <c r="AF186" s="2">
        <v>0</v>
      </c>
      <c r="AG186" s="74" t="str">
        <v/>
      </c>
    </row>
    <row r="187" spans="29:33" x14ac:dyDescent="0.15">
      <c r="AC187" s="74" t="str">
        <v/>
      </c>
      <c r="AD187" s="2">
        <v>0</v>
      </c>
      <c r="AE187" s="2">
        <v>0</v>
      </c>
      <c r="AF187" s="2">
        <v>0</v>
      </c>
      <c r="AG187" s="74" t="str">
        <v/>
      </c>
    </row>
    <row r="188" spans="29:33" x14ac:dyDescent="0.15">
      <c r="AC188" s="74" t="str">
        <v/>
      </c>
      <c r="AD188" s="2">
        <v>0</v>
      </c>
      <c r="AE188" s="2">
        <v>0</v>
      </c>
      <c r="AF188" s="2">
        <v>0</v>
      </c>
      <c r="AG188" s="74" t="str">
        <v/>
      </c>
    </row>
    <row r="189" spans="29:33" x14ac:dyDescent="0.15">
      <c r="AC189" s="74" t="str">
        <v/>
      </c>
      <c r="AD189" s="2">
        <v>0</v>
      </c>
      <c r="AE189" s="2">
        <v>0</v>
      </c>
      <c r="AF189" s="2">
        <v>0</v>
      </c>
      <c r="AG189" s="74" t="str">
        <v/>
      </c>
    </row>
    <row r="190" spans="29:33" x14ac:dyDescent="0.15">
      <c r="AC190" s="74" t="str">
        <v/>
      </c>
      <c r="AD190" s="2">
        <v>0</v>
      </c>
      <c r="AE190" s="2">
        <v>0</v>
      </c>
      <c r="AF190" s="2">
        <v>0</v>
      </c>
      <c r="AG190" s="74" t="str">
        <v/>
      </c>
    </row>
    <row r="191" spans="29:33" x14ac:dyDescent="0.15">
      <c r="AC191" s="74" t="str">
        <v/>
      </c>
      <c r="AD191" s="2">
        <v>0</v>
      </c>
      <c r="AE191" s="2">
        <v>0</v>
      </c>
      <c r="AF191" s="2">
        <v>0</v>
      </c>
      <c r="AG191" s="74" t="str">
        <v/>
      </c>
    </row>
    <row r="192" spans="29:33" x14ac:dyDescent="0.15">
      <c r="AC192" s="74" t="str">
        <v/>
      </c>
      <c r="AD192" s="2">
        <v>0</v>
      </c>
      <c r="AE192" s="2">
        <v>0</v>
      </c>
      <c r="AF192" s="2">
        <v>0</v>
      </c>
      <c r="AG192" s="74" t="str">
        <v/>
      </c>
    </row>
    <row r="193" spans="29:33" x14ac:dyDescent="0.15">
      <c r="AC193" s="74" t="str">
        <v/>
      </c>
      <c r="AD193" s="2">
        <v>0</v>
      </c>
      <c r="AE193" s="2">
        <v>0</v>
      </c>
      <c r="AF193" s="2">
        <v>0</v>
      </c>
      <c r="AG193" s="74" t="str">
        <v/>
      </c>
    </row>
    <row r="194" spans="29:33" x14ac:dyDescent="0.15">
      <c r="AC194" s="74" t="str">
        <v/>
      </c>
      <c r="AD194" s="2">
        <v>0</v>
      </c>
      <c r="AE194" s="2">
        <v>0</v>
      </c>
      <c r="AF194" s="2">
        <v>0</v>
      </c>
      <c r="AG194" s="74" t="str">
        <v/>
      </c>
    </row>
    <row r="195" spans="29:33" x14ac:dyDescent="0.15">
      <c r="AC195" s="74" t="str">
        <v/>
      </c>
      <c r="AD195" s="2">
        <v>0</v>
      </c>
      <c r="AE195" s="2">
        <v>0</v>
      </c>
      <c r="AF195" s="2">
        <v>0</v>
      </c>
      <c r="AG195" s="74" t="str">
        <v/>
      </c>
    </row>
    <row r="196" spans="29:33" x14ac:dyDescent="0.15">
      <c r="AC196" s="74" t="str">
        <v/>
      </c>
      <c r="AD196" s="2">
        <v>0</v>
      </c>
      <c r="AE196" s="2">
        <v>0</v>
      </c>
      <c r="AF196" s="2">
        <v>0</v>
      </c>
      <c r="AG196" s="74" t="str">
        <v/>
      </c>
    </row>
    <row r="197" spans="29:33" x14ac:dyDescent="0.15">
      <c r="AC197" s="74" t="str">
        <v/>
      </c>
      <c r="AD197" s="2">
        <v>0</v>
      </c>
      <c r="AE197" s="2">
        <v>0</v>
      </c>
      <c r="AF197" s="2">
        <v>0</v>
      </c>
      <c r="AG197" s="74" t="str">
        <v/>
      </c>
    </row>
    <row r="198" spans="29:33" x14ac:dyDescent="0.15">
      <c r="AC198" s="74" t="str">
        <v/>
      </c>
      <c r="AD198" s="2">
        <v>0</v>
      </c>
      <c r="AE198" s="2">
        <v>0</v>
      </c>
      <c r="AF198" s="2">
        <v>0</v>
      </c>
      <c r="AG198" s="74" t="str">
        <v/>
      </c>
    </row>
    <row r="199" spans="29:33" x14ac:dyDescent="0.15">
      <c r="AC199" s="74" t="str">
        <v/>
      </c>
      <c r="AD199" s="2">
        <v>0</v>
      </c>
      <c r="AE199" s="2">
        <v>0</v>
      </c>
      <c r="AF199" s="2">
        <v>0</v>
      </c>
      <c r="AG199" s="74" t="str">
        <v/>
      </c>
    </row>
    <row r="200" spans="29:33" x14ac:dyDescent="0.15">
      <c r="AC200" s="74" t="str">
        <v/>
      </c>
      <c r="AD200" s="2">
        <v>0</v>
      </c>
      <c r="AE200" s="2">
        <v>0</v>
      </c>
      <c r="AF200" s="2">
        <v>0</v>
      </c>
      <c r="AG200" s="74" t="str">
        <v/>
      </c>
    </row>
    <row r="201" spans="29:33" x14ac:dyDescent="0.15">
      <c r="AC201" s="74" t="str">
        <v/>
      </c>
      <c r="AD201" s="2">
        <v>0</v>
      </c>
      <c r="AE201" s="2">
        <v>0</v>
      </c>
      <c r="AF201" s="2">
        <v>0</v>
      </c>
      <c r="AG201" s="74" t="str">
        <v/>
      </c>
    </row>
    <row r="202" spans="29:33" x14ac:dyDescent="0.15">
      <c r="AC202" s="74" t="str">
        <v/>
      </c>
      <c r="AD202" s="2">
        <v>0</v>
      </c>
      <c r="AE202" s="2">
        <v>0</v>
      </c>
      <c r="AF202" s="2">
        <v>0</v>
      </c>
      <c r="AG202" s="74" t="str">
        <v/>
      </c>
    </row>
  </sheetData>
  <sheetProtection selectLockedCells="1" selectUnlockedCells="1"/>
  <customSheetViews>
    <customSheetView guid="{359010A1-0405-4C05-8A51-03FA4E24F244}">
      <selection activeCell="D14" sqref="D14"/>
    </customSheetView>
    <customSheetView guid="{6E4277CF-1161-4602-99B2-7466BE4F7FEC}">
      <selection activeCell="D14" sqref="D14"/>
    </customSheetView>
  </customSheetViews>
  <mergeCells count="11">
    <mergeCell ref="I56:J56"/>
    <mergeCell ref="Y2:AA2"/>
    <mergeCell ref="B15:C15"/>
    <mergeCell ref="B16:C16"/>
    <mergeCell ref="B14:C14"/>
    <mergeCell ref="Q2:S2"/>
    <mergeCell ref="U2:W2"/>
    <mergeCell ref="B3:C3"/>
    <mergeCell ref="H2:J2"/>
    <mergeCell ref="D2:F2"/>
    <mergeCell ref="L2:N2"/>
  </mergeCells>
  <phoneticPr fontId="2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11E1D-A64C-4AB7-9D99-752939E02587}">
  <sheetPr>
    <tabColor theme="9"/>
  </sheetPr>
  <dimension ref="A1:Q120"/>
  <sheetViews>
    <sheetView showGridLines="0" workbookViewId="0"/>
  </sheetViews>
  <sheetFormatPr baseColWidth="10" defaultColWidth="8.6640625" defaultRowHeight="13" x14ac:dyDescent="0.15"/>
  <cols>
    <col min="1" max="1" width="2" customWidth="1"/>
    <col min="3" max="3" width="10.83203125" bestFit="1" customWidth="1"/>
    <col min="4" max="4" width="11.1640625" customWidth="1"/>
    <col min="5" max="6" width="10.6640625" customWidth="1"/>
    <col min="7" max="7" width="11.5" customWidth="1"/>
    <col min="8" max="8" width="1" customWidth="1"/>
    <col min="9" max="9" width="12.83203125" customWidth="1"/>
    <col min="10" max="10" width="3.6640625" customWidth="1"/>
  </cols>
  <sheetData>
    <row r="1" spans="1:17" ht="24" x14ac:dyDescent="0.3">
      <c r="A1" s="249"/>
      <c r="B1" s="337" t="str">
        <f>IF(ISNONTEXT('1 Start here'!$B$5),"Enter your church name in the Getting Started sheet",'1 Start here'!$B$5)</f>
        <v>Enter your church name in the Getting Started sheet</v>
      </c>
      <c r="C1" s="337"/>
      <c r="D1" s="337"/>
      <c r="E1" s="337"/>
      <c r="F1" s="337"/>
      <c r="G1" s="337"/>
      <c r="H1" s="337"/>
      <c r="I1" s="337"/>
      <c r="J1" s="5"/>
      <c r="K1" s="401"/>
      <c r="L1" s="401"/>
      <c r="M1" s="401"/>
      <c r="N1" s="401"/>
      <c r="O1" s="401"/>
      <c r="P1" s="401"/>
      <c r="Q1" s="401"/>
    </row>
    <row r="2" spans="1:17" ht="24" x14ac:dyDescent="0.3">
      <c r="A2" s="416" t="s">
        <v>172</v>
      </c>
      <c r="B2" s="416"/>
      <c r="C2" s="416"/>
      <c r="D2" s="416"/>
      <c r="E2" s="416"/>
      <c r="F2" s="416"/>
      <c r="G2" s="416"/>
      <c r="H2" s="416"/>
      <c r="I2" s="416"/>
      <c r="K2" s="402"/>
      <c r="L2" s="402"/>
      <c r="M2" s="402"/>
      <c r="N2" s="402"/>
      <c r="O2" s="402"/>
      <c r="P2" s="402"/>
      <c r="Q2" s="402"/>
    </row>
    <row r="3" spans="1:17" x14ac:dyDescent="0.15">
      <c r="K3" s="402"/>
      <c r="L3" s="402"/>
      <c r="M3" s="402"/>
      <c r="N3" s="402"/>
      <c r="O3" s="402"/>
      <c r="P3" s="402"/>
      <c r="Q3" s="402"/>
    </row>
    <row r="4" spans="1:17" ht="21" thickBot="1" x14ac:dyDescent="0.3">
      <c r="A4" s="407" t="s">
        <v>173</v>
      </c>
      <c r="B4" s="407"/>
      <c r="C4" s="407"/>
      <c r="D4" s="407"/>
      <c r="E4" s="407"/>
      <c r="F4" s="407"/>
      <c r="G4" s="407"/>
      <c r="H4" s="407"/>
      <c r="I4" s="407"/>
      <c r="K4" s="402"/>
      <c r="L4" s="402"/>
      <c r="M4" s="402"/>
      <c r="N4" s="402"/>
      <c r="O4" s="402"/>
      <c r="P4" s="402"/>
      <c r="Q4" s="402"/>
    </row>
    <row r="5" spans="1:17" ht="18" customHeight="1" thickTop="1" x14ac:dyDescent="0.2">
      <c r="A5" s="417" t="str" cm="1">
        <f t="array" ref="A5">"These charts give an overview of the operational, day to day, income and expenditure of the church " &amp; _xlfn.IFS('1 Start here'!C11="","in " &amp; D8 &amp; ".",'1 Start here'!C12="","over three years.",'1 Start here'!C13="","over three years.",TRUE,"over four years.")</f>
        <v>These charts give an overview of the operational, day to day, income and expenditure of the church in 0.</v>
      </c>
      <c r="B5" s="417"/>
      <c r="C5" s="417"/>
      <c r="D5" s="417"/>
      <c r="E5" s="417"/>
      <c r="F5" s="417"/>
      <c r="G5" s="417"/>
      <c r="H5" s="417"/>
      <c r="I5" s="417"/>
      <c r="J5" s="23"/>
    </row>
    <row r="6" spans="1:17" ht="41.5" customHeight="1" x14ac:dyDescent="0.2">
      <c r="A6" s="418" t="s">
        <v>174</v>
      </c>
      <c r="B6" s="418"/>
      <c r="C6" s="418"/>
      <c r="D6" s="418"/>
      <c r="E6" s="418"/>
      <c r="F6" s="418"/>
      <c r="G6" s="418"/>
      <c r="H6" s="418"/>
      <c r="I6" s="418"/>
      <c r="J6" s="23"/>
    </row>
    <row r="8" spans="1:17" s="45" customFormat="1" ht="16" thickBot="1" x14ac:dyDescent="0.25">
      <c r="D8" s="174">
        <f>'1 Start here'!$C$10</f>
        <v>0</v>
      </c>
      <c r="E8" s="174">
        <f>'1 Start here'!$C$11</f>
        <v>0</v>
      </c>
      <c r="F8" s="174">
        <f>'1 Start here'!$C$12</f>
        <v>0</v>
      </c>
      <c r="G8" s="174">
        <f>'1 Start here'!$C$13</f>
        <v>0</v>
      </c>
      <c r="I8" s="46"/>
      <c r="J8" s="46"/>
      <c r="K8" s="46"/>
      <c r="L8" s="46"/>
      <c r="M8" s="46"/>
      <c r="N8" s="46"/>
      <c r="O8" s="46"/>
    </row>
    <row r="9" spans="1:17" s="46" customFormat="1" ht="14" x14ac:dyDescent="0.2">
      <c r="B9" s="411" t="s">
        <v>175</v>
      </c>
      <c r="C9" s="411"/>
      <c r="D9" s="297">
        <f>'2a Finance history'!E19</f>
        <v>0</v>
      </c>
      <c r="E9" s="175">
        <f>'2a Finance history'!I19</f>
        <v>0</v>
      </c>
      <c r="F9" s="76">
        <f>'2a Finance history'!$M$19</f>
        <v>0</v>
      </c>
      <c r="G9" s="77">
        <f>'2a Finance history'!$Q$19</f>
        <v>0</v>
      </c>
    </row>
    <row r="10" spans="1:17" s="46" customFormat="1" ht="14" x14ac:dyDescent="0.2">
      <c r="B10" s="411" t="s">
        <v>176</v>
      </c>
      <c r="C10" s="411"/>
      <c r="D10" s="298">
        <f>'2a Finance history'!$E$38</f>
        <v>0</v>
      </c>
      <c r="E10" s="75">
        <f>'2a Finance history'!I38</f>
        <v>0</v>
      </c>
      <c r="F10" s="76">
        <f>'2a Finance history'!$M$38</f>
        <v>0</v>
      </c>
      <c r="G10" s="77">
        <f>'2a Finance history'!$Q$38</f>
        <v>0</v>
      </c>
    </row>
    <row r="11" spans="1:17" s="46" customFormat="1" ht="15" thickBot="1" x14ac:dyDescent="0.25">
      <c r="B11" s="411" t="s">
        <v>177</v>
      </c>
      <c r="C11" s="411"/>
      <c r="D11" s="299">
        <f>D9-D10</f>
        <v>0</v>
      </c>
      <c r="E11" s="224">
        <f>'2a Finance history'!I40</f>
        <v>0</v>
      </c>
      <c r="F11" s="225">
        <f>F9-F10</f>
        <v>0</v>
      </c>
      <c r="G11" s="226">
        <f>G9-G10</f>
        <v>0</v>
      </c>
      <c r="I11"/>
      <c r="J11"/>
      <c r="K11"/>
      <c r="L11"/>
      <c r="M11"/>
      <c r="N11"/>
      <c r="O11"/>
    </row>
    <row r="12" spans="1:17" ht="16" thickTop="1" thickBot="1" x14ac:dyDescent="0.25">
      <c r="F12" s="24" t="str" cm="1">
        <f t="array" ref="F12">_xlfn.IFS('1 Start here'!C11="","Total surplus/deficit:",'1 Start here'!C12="","2 year running total surplus/deficit:",'1 Start here'!C13="","3 year running total surplus/deficit:",TRUE,"4 year running total surplus/deficit:")</f>
        <v>Total surplus/deficit:</v>
      </c>
      <c r="G12" s="223">
        <f>SUM(D11:G11)</f>
        <v>0</v>
      </c>
    </row>
    <row r="13" spans="1:17" ht="14" thickTop="1" x14ac:dyDescent="0.15"/>
    <row r="14" spans="1:17" ht="234.5" customHeight="1" x14ac:dyDescent="0.15">
      <c r="A14" s="415"/>
      <c r="B14" s="415"/>
      <c r="C14" s="415"/>
      <c r="D14" s="415"/>
      <c r="E14" s="415"/>
      <c r="F14" s="415"/>
      <c r="G14" s="415"/>
      <c r="H14" s="415"/>
      <c r="I14" s="415"/>
    </row>
    <row r="15" spans="1:17" ht="213.5" customHeight="1" x14ac:dyDescent="0.15">
      <c r="A15" s="406"/>
      <c r="B15" s="406"/>
      <c r="C15" s="406"/>
      <c r="D15" s="406"/>
      <c r="E15" s="406"/>
      <c r="F15" s="406"/>
      <c r="G15" s="406"/>
      <c r="H15" s="406"/>
      <c r="I15" s="406"/>
    </row>
    <row r="16" spans="1:17" ht="21" thickBot="1" x14ac:dyDescent="0.3">
      <c r="A16" s="407" t="s">
        <v>178</v>
      </c>
      <c r="B16" s="407"/>
      <c r="C16" s="407"/>
      <c r="D16" s="407"/>
      <c r="E16" s="407"/>
      <c r="F16" s="407"/>
      <c r="G16" s="407"/>
      <c r="H16" s="407"/>
      <c r="I16" s="407"/>
    </row>
    <row r="17" spans="1:17" ht="69.5" customHeight="1" thickTop="1" x14ac:dyDescent="0.2">
      <c r="A17" s="410" t="s">
        <v>179</v>
      </c>
      <c r="B17" s="410"/>
      <c r="C17" s="410"/>
      <c r="D17" s="410"/>
      <c r="E17" s="410"/>
      <c r="F17" s="410"/>
      <c r="G17" s="410"/>
      <c r="H17" s="410"/>
      <c r="I17" s="410"/>
    </row>
    <row r="18" spans="1:17" ht="18.5" customHeight="1" x14ac:dyDescent="0.15"/>
    <row r="19" spans="1:17" s="45" customFormat="1" ht="16" thickBot="1" x14ac:dyDescent="0.25">
      <c r="D19" s="174">
        <f>'1 Start here'!$C$10</f>
        <v>0</v>
      </c>
      <c r="E19" s="174">
        <f>'1 Start here'!$C$11</f>
        <v>0</v>
      </c>
      <c r="F19" s="174">
        <f>'1 Start here'!$C$12</f>
        <v>0</v>
      </c>
      <c r="G19" s="174">
        <f>'1 Start here'!$C$13</f>
        <v>0</v>
      </c>
      <c r="I19" s="46"/>
      <c r="J19" s="46"/>
      <c r="K19" s="46"/>
      <c r="L19" s="46"/>
      <c r="M19" s="46"/>
      <c r="N19" s="46"/>
      <c r="O19" s="46"/>
    </row>
    <row r="20" spans="1:17" s="46" customFormat="1" ht="14" x14ac:dyDescent="0.2">
      <c r="B20" s="411" t="s">
        <v>180</v>
      </c>
      <c r="C20" s="411"/>
      <c r="D20" s="298">
        <f>SUM('2a Finance history'!$E$43:$E$44)</f>
        <v>0</v>
      </c>
      <c r="E20" s="75">
        <f>SUM('2a Finance history'!$I$43:$I$44)</f>
        <v>0</v>
      </c>
      <c r="F20" s="76">
        <f>SUM('2a Finance history'!$M$43:$M$44)</f>
        <v>0</v>
      </c>
      <c r="G20" s="77">
        <f>SUM('2a Finance history'!$Q$43:$Q$44)</f>
        <v>0</v>
      </c>
    </row>
    <row r="21" spans="1:17" ht="19.25" customHeight="1" x14ac:dyDescent="0.15"/>
    <row r="22" spans="1:17" ht="283.25" customHeight="1" x14ac:dyDescent="0.15">
      <c r="A22" s="406"/>
      <c r="B22" s="406"/>
      <c r="C22" s="406"/>
      <c r="D22" s="406"/>
      <c r="E22" s="406"/>
      <c r="F22" s="406"/>
      <c r="G22" s="406"/>
      <c r="H22" s="406"/>
      <c r="I22" s="406"/>
    </row>
    <row r="23" spans="1:17" ht="21" thickBot="1" x14ac:dyDescent="0.3">
      <c r="A23" s="407" t="s">
        <v>181</v>
      </c>
      <c r="B23" s="407"/>
      <c r="C23" s="407"/>
      <c r="D23" s="407"/>
      <c r="E23" s="407"/>
      <c r="F23" s="407"/>
      <c r="G23" s="407"/>
      <c r="H23" s="407"/>
      <c r="I23" s="407"/>
    </row>
    <row r="24" spans="1:17" ht="14.5" customHeight="1" thickTop="1" x14ac:dyDescent="0.2">
      <c r="A24" s="420" t="s">
        <v>182</v>
      </c>
      <c r="B24" s="420"/>
      <c r="C24" s="420"/>
      <c r="D24" s="420"/>
      <c r="E24" s="420"/>
      <c r="F24" s="420"/>
      <c r="G24" s="420"/>
      <c r="H24" s="420"/>
      <c r="I24" s="420"/>
    </row>
    <row r="26" spans="1:17" ht="19" thickBot="1" x14ac:dyDescent="0.3">
      <c r="A26" s="419" t="s">
        <v>183</v>
      </c>
      <c r="B26" s="419"/>
      <c r="C26" s="419"/>
      <c r="D26" s="419"/>
      <c r="E26" s="419"/>
      <c r="F26" s="419"/>
      <c r="G26" s="419"/>
      <c r="H26" s="419"/>
      <c r="K26" s="6"/>
      <c r="L26" s="6"/>
      <c r="M26" s="6"/>
      <c r="N26" s="6"/>
      <c r="O26" s="6"/>
      <c r="P26" s="6"/>
      <c r="Q26" s="6"/>
    </row>
    <row r="27" spans="1:17" s="6" customFormat="1" ht="17.5" customHeight="1" thickTop="1" x14ac:dyDescent="0.2">
      <c r="B27" s="408" t="str">
        <f>"Our total planned giving is " &amp; TEXT(Calculations!$E$14,"£#,##0") &amp; " (" &amp; TEXT(ROUND(Calculations!$E$14/52,0),"£#,##0") &amp; " per week)."</f>
        <v>Our total planned giving is £0 (£0 per week).</v>
      </c>
      <c r="C27" s="408"/>
      <c r="D27" s="408"/>
      <c r="E27" s="408"/>
      <c r="F27" s="408"/>
      <c r="G27" s="408"/>
      <c r="H27" s="408"/>
      <c r="I27" s="408"/>
    </row>
    <row r="28" spans="1:17" s="6" customFormat="1" x14ac:dyDescent="0.2">
      <c r="B28" s="408" t="str">
        <f>"&gt; This comes from " &amp; COUNT(Calculations!AH:AH) &amp; " regular Gift Aid givers and " &amp; COUNT(Calculations!AI:AI) &amp; " regular non-Gift Aid givers."</f>
        <v>&gt; This comes from 0 regular Gift Aid givers and 0 regular non-Gift Aid givers.</v>
      </c>
      <c r="C28" s="408"/>
      <c r="D28" s="408"/>
      <c r="E28" s="408"/>
      <c r="F28" s="408"/>
      <c r="G28" s="408"/>
      <c r="H28" s="408"/>
      <c r="I28" s="408"/>
    </row>
    <row r="29" spans="1:17" s="6" customFormat="1" ht="14" customHeight="1" x14ac:dyDescent="0.2">
      <c r="B29" s="408" t="e">
        <f>"The average (mean) gift size is " &amp; TEXT(Calculations!$E$15,"£0.00") &amp; " per week."</f>
        <v>#DIV/0!</v>
      </c>
      <c r="C29" s="408"/>
      <c r="D29" s="408"/>
      <c r="E29" s="408"/>
      <c r="F29" s="408"/>
      <c r="G29" s="408"/>
      <c r="H29" s="408"/>
      <c r="I29" s="408"/>
      <c r="K29" s="48"/>
      <c r="L29" s="48"/>
      <c r="M29" s="48"/>
      <c r="N29" s="48"/>
      <c r="O29" s="48"/>
      <c r="P29" s="48"/>
      <c r="Q29" s="48"/>
    </row>
    <row r="30" spans="1:17" s="48" customFormat="1" ht="14" customHeight="1" x14ac:dyDescent="0.2">
      <c r="B30" s="408" t="e" vm="2">
        <f>"&gt; This breaks down to " &amp; TEXT(Calculations!$I$15,"£0.00") &amp; " for Gift Aid giving and " &amp; TEXT(Calculations!$M$15,"£0.00") &amp; " for non-Gift Aid giving."</f>
        <v>#VALUE!</v>
      </c>
      <c r="C30" s="408"/>
      <c r="D30" s="408"/>
      <c r="E30" s="408"/>
      <c r="F30" s="408"/>
      <c r="G30" s="408"/>
      <c r="H30" s="408"/>
      <c r="I30" s="408"/>
      <c r="K30" s="6"/>
      <c r="L30" s="6"/>
      <c r="M30" s="6"/>
      <c r="N30" s="6"/>
      <c r="O30" s="6"/>
      <c r="P30" s="6"/>
      <c r="Q30" s="6"/>
    </row>
    <row r="31" spans="1:17" s="6" customFormat="1" ht="14" customHeight="1" x14ac:dyDescent="0.2">
      <c r="B31" s="408" t="e">
        <f>"The median gift size is " &amp; TEXT(Calculations!$E$16,"£0.00") &amp; " per week, ie half of our givers are giving less than this amount."</f>
        <v>#NUM!</v>
      </c>
      <c r="C31" s="408"/>
      <c r="D31" s="408"/>
      <c r="E31" s="408"/>
      <c r="F31" s="408"/>
      <c r="G31" s="408"/>
      <c r="H31" s="408"/>
      <c r="I31" s="408"/>
    </row>
    <row r="32" spans="1:17" s="6" customFormat="1" ht="14" customHeight="1" x14ac:dyDescent="0.2">
      <c r="B32" s="408" t="e" vm="2">
        <f>"&gt; This breaks down to " &amp; TEXT(Calculations!$I$16,"£0.00") &amp; " for Gift Aid giving and " &amp; TEXT(Calculations!$M$16,"£0.00") &amp; " for non-Gift Aid giving."</f>
        <v>#VALUE!</v>
      </c>
      <c r="C32" s="408"/>
      <c r="D32" s="408"/>
      <c r="E32" s="408"/>
      <c r="F32" s="408"/>
      <c r="G32" s="408"/>
      <c r="H32" s="408"/>
      <c r="I32" s="408"/>
    </row>
    <row r="33" spans="1:17" s="6" customFormat="1" ht="14" customHeight="1" x14ac:dyDescent="0.2">
      <c r="B33" s="408"/>
      <c r="C33" s="408"/>
      <c r="D33" s="408"/>
      <c r="E33" s="408"/>
      <c r="F33" s="408"/>
      <c r="G33" s="408"/>
      <c r="H33" s="408"/>
      <c r="I33" s="408"/>
      <c r="K33"/>
      <c r="L33"/>
      <c r="M33"/>
      <c r="N33"/>
      <c r="O33"/>
      <c r="P33"/>
      <c r="Q33"/>
    </row>
    <row r="34" spans="1:17" ht="273.5" customHeight="1" x14ac:dyDescent="0.15">
      <c r="A34" s="406"/>
      <c r="B34" s="406"/>
      <c r="C34" s="406"/>
      <c r="D34" s="406"/>
      <c r="E34" s="406"/>
      <c r="F34" s="406"/>
      <c r="G34" s="406"/>
      <c r="H34" s="406"/>
      <c r="I34" s="406"/>
    </row>
    <row r="35" spans="1:17" ht="244.25" customHeight="1" x14ac:dyDescent="0.15">
      <c r="A35" s="406"/>
      <c r="B35" s="406"/>
      <c r="C35" s="406"/>
      <c r="D35" s="406"/>
      <c r="E35" s="406"/>
      <c r="F35" s="406"/>
      <c r="G35" s="406"/>
      <c r="H35" s="406"/>
      <c r="I35" s="406"/>
    </row>
    <row r="36" spans="1:17" ht="25.25" customHeight="1" x14ac:dyDescent="0.15">
      <c r="A36" s="45"/>
      <c r="B36" s="409" t="s">
        <v>184</v>
      </c>
      <c r="C36" s="409"/>
      <c r="D36" s="409"/>
      <c r="E36" s="409"/>
      <c r="F36" s="409"/>
      <c r="G36" s="409"/>
      <c r="H36" s="409"/>
      <c r="I36" s="409"/>
    </row>
    <row r="37" spans="1:17" ht="19" thickBot="1" x14ac:dyDescent="0.3">
      <c r="A37" s="403" t="s">
        <v>185</v>
      </c>
      <c r="B37" s="403"/>
      <c r="C37" s="403"/>
      <c r="D37" s="403"/>
      <c r="E37" s="403"/>
      <c r="F37" s="403"/>
      <c r="G37" s="45"/>
      <c r="H37" s="45"/>
      <c r="I37" s="45"/>
    </row>
    <row r="38" spans="1:17" ht="69.5" customHeight="1" thickTop="1" x14ac:dyDescent="0.2">
      <c r="B38" s="414" t="s">
        <v>186</v>
      </c>
      <c r="C38" s="414"/>
      <c r="D38" s="414"/>
      <c r="E38" s="414"/>
      <c r="F38" s="414"/>
      <c r="G38" s="414"/>
      <c r="H38" s="414"/>
      <c r="I38" s="414"/>
    </row>
    <row r="39" spans="1:17" s="6" customFormat="1" ht="41.5" customHeight="1" x14ac:dyDescent="0.15">
      <c r="B39" s="421" t="e" vm="2">
        <f ca="1">"In our church, 10% of the congregation are responsible for " &amp; ROUND(Calculations!$F$22*100,0) &amp; "% of our planned giving.  " &amp; ROUND(Calculations!$F$24*100,0) &amp; "% of our planned gifts comes from 20% of our givers.  To put it another way, 80% of our givers donate " &amp; 100-ROUND(Calculations!$F$24*100,0) &amp; "% of our planned giving between them."</f>
        <v>#VALUE!</v>
      </c>
      <c r="C39" s="422"/>
      <c r="D39" s="422"/>
      <c r="E39" s="422"/>
      <c r="F39" s="422"/>
      <c r="G39" s="422"/>
      <c r="H39" s="422"/>
      <c r="I39" s="422"/>
    </row>
    <row r="40" spans="1:17" ht="350" customHeight="1" x14ac:dyDescent="0.15">
      <c r="A40" s="406"/>
      <c r="B40" s="406"/>
      <c r="C40" s="406"/>
      <c r="D40" s="406"/>
      <c r="E40" s="406"/>
      <c r="F40" s="406"/>
      <c r="G40" s="406"/>
      <c r="H40" s="406"/>
      <c r="I40" s="406"/>
    </row>
    <row r="41" spans="1:17" ht="21" thickBot="1" x14ac:dyDescent="0.3">
      <c r="A41" s="407" t="s">
        <v>187</v>
      </c>
      <c r="B41" s="407"/>
      <c r="C41" s="407"/>
      <c r="D41" s="407"/>
      <c r="E41" s="407"/>
      <c r="F41" s="407"/>
      <c r="G41" s="407"/>
      <c r="H41" s="407"/>
      <c r="I41" s="407"/>
    </row>
    <row r="42" spans="1:17" ht="14" thickTop="1" x14ac:dyDescent="0.15"/>
    <row r="43" spans="1:17" ht="19" thickBot="1" x14ac:dyDescent="0.3">
      <c r="A43" s="419" t="s">
        <v>183</v>
      </c>
      <c r="B43" s="419"/>
      <c r="C43" s="419"/>
      <c r="D43" s="419"/>
      <c r="E43" s="419"/>
      <c r="F43" s="419"/>
      <c r="G43" s="300" t="s">
        <v>188</v>
      </c>
      <c r="I43" s="300" t="s">
        <v>189</v>
      </c>
    </row>
    <row r="44" spans="1:17" ht="28.25" customHeight="1" thickTop="1" x14ac:dyDescent="0.2">
      <c r="B44" s="405" t="s">
        <v>190</v>
      </c>
      <c r="C44" s="405"/>
      <c r="D44" s="405"/>
      <c r="E44" s="405"/>
      <c r="F44" s="405"/>
      <c r="G44" s="50">
        <f>'3a Budget plan'!$K$38</f>
        <v>0</v>
      </c>
      <c r="I44" s="50">
        <f>G44/52</f>
        <v>0</v>
      </c>
    </row>
    <row r="45" spans="1:17" ht="14" customHeight="1" x14ac:dyDescent="0.2">
      <c r="B45" s="405" t="s">
        <v>191</v>
      </c>
      <c r="C45" s="405"/>
      <c r="D45" s="405"/>
      <c r="E45" s="405"/>
      <c r="F45" s="405"/>
      <c r="G45" s="50">
        <f>'3a Budget plan'!$K$18</f>
        <v>0</v>
      </c>
      <c r="I45" s="50">
        <f t="shared" ref="I45:I47" si="0">G45/52</f>
        <v>0</v>
      </c>
    </row>
    <row r="46" spans="1:17" ht="15" thickBot="1" x14ac:dyDescent="0.25">
      <c r="B46" s="405" t="str">
        <f xml:space="preserve"> "That leaves us with an operational " &amp; IF('3a Budget plan'!K40&lt;0, "shortfall","surplus") &amp; " of "</f>
        <v xml:space="preserve">That leaves us with an operational surplus of </v>
      </c>
      <c r="C46" s="405"/>
      <c r="D46" s="405"/>
      <c r="E46" s="405"/>
      <c r="F46" s="405"/>
      <c r="G46" s="229">
        <f>ABS('3a Budget plan'!$K$40)</f>
        <v>0</v>
      </c>
      <c r="I46" s="229">
        <f t="shared" si="0"/>
        <v>0</v>
      </c>
    </row>
    <row r="47" spans="1:17" ht="30" customHeight="1" thickTop="1" x14ac:dyDescent="0.2">
      <c r="B47" s="405" t="str">
        <f>IF(SUM('3a Budget plan'!K42:K43)&gt;0,"We plan to use some reserves and/or make legitimate use of restricted funds to help us bridge the gap","")</f>
        <v/>
      </c>
      <c r="C47" s="405"/>
      <c r="D47" s="405"/>
      <c r="E47" s="405"/>
      <c r="F47" s="405"/>
      <c r="G47" s="50">
        <f>SUM('3a Budget plan'!$K$42:$K$43)</f>
        <v>0</v>
      </c>
      <c r="I47" s="50">
        <f t="shared" si="0"/>
        <v>0</v>
      </c>
    </row>
    <row r="48" spans="1:17" ht="23" customHeight="1" thickBot="1" x14ac:dyDescent="0.25">
      <c r="B48" s="405" t="str">
        <f>"So our overall " &amp; IF('3a Budget plan'!K45&lt;0,"shortfall","surplus") &amp; " is "</f>
        <v xml:space="preserve">So our overall surplus is </v>
      </c>
      <c r="C48" s="405"/>
      <c r="D48" s="405"/>
      <c r="E48" s="405"/>
      <c r="F48" s="405"/>
      <c r="G48" s="230">
        <f>'3a Budget plan'!$K$45</f>
        <v>0</v>
      </c>
      <c r="I48" s="230" t="str">
        <f>'3a Budget plan'!$K$47</f>
        <v/>
      </c>
    </row>
    <row r="49" spans="1:9" ht="40.5" customHeight="1" thickTop="1" x14ac:dyDescent="0.2">
      <c r="B49" s="405" t="s">
        <v>192</v>
      </c>
      <c r="C49" s="405"/>
      <c r="D49" s="405"/>
      <c r="E49" s="405"/>
      <c r="F49" s="405"/>
      <c r="G49" s="50"/>
      <c r="I49" s="50" t="str">
        <f>'3a Budget plan'!$K$47</f>
        <v/>
      </c>
    </row>
    <row r="50" spans="1:9" ht="14" customHeight="1" x14ac:dyDescent="0.2">
      <c r="B50" s="408"/>
      <c r="C50" s="408"/>
      <c r="D50" s="408"/>
      <c r="E50" s="408"/>
      <c r="F50" s="408"/>
      <c r="H50" s="50"/>
    </row>
    <row r="51" spans="1:9" ht="409.25" customHeight="1" x14ac:dyDescent="0.2">
      <c r="B51" s="51"/>
      <c r="C51" s="51"/>
      <c r="D51" s="51"/>
      <c r="E51" s="51"/>
      <c r="F51" s="51"/>
      <c r="H51" s="50"/>
    </row>
    <row r="53" spans="1:9" ht="30.75" customHeight="1" x14ac:dyDescent="0.2">
      <c r="A53" s="404" t="s">
        <v>193</v>
      </c>
      <c r="B53" s="404"/>
      <c r="C53" s="404"/>
      <c r="D53" s="404"/>
      <c r="E53" s="404"/>
      <c r="F53" s="404"/>
      <c r="G53" s="404"/>
      <c r="H53" s="404"/>
      <c r="I53" s="404"/>
    </row>
    <row r="55" spans="1:9" ht="15" x14ac:dyDescent="0.2">
      <c r="A55" s="46"/>
      <c r="B55" s="46"/>
      <c r="C55" s="46"/>
      <c r="D55" s="46"/>
      <c r="F55" s="206" cm="1">
        <f t="array" ref="F55">_xlfn.IFS('1 Start here'!$C$11="",'3a Budget plan'!F2,'1 Start here'!$C$12="",'3a Budget plan'!G2,'1 Start here'!$C$13="",'3a Budget plan'!H2,TRUE,'3a Budget plan'!I2)</f>
        <v>0</v>
      </c>
      <c r="G55" s="207" t="s">
        <v>105</v>
      </c>
      <c r="I55" s="208">
        <f>'3a Budget plan'!$K$2</f>
        <v>0</v>
      </c>
    </row>
    <row r="56" spans="1:9" ht="15" x14ac:dyDescent="0.2">
      <c r="A56" s="46"/>
      <c r="B56" s="46"/>
      <c r="C56" s="46"/>
      <c r="D56" s="46"/>
      <c r="F56" s="206" t="s">
        <v>107</v>
      </c>
      <c r="G56" s="207" t="s">
        <v>108</v>
      </c>
      <c r="I56" s="208" t="s">
        <v>109</v>
      </c>
    </row>
    <row r="57" spans="1:9" ht="18" x14ac:dyDescent="0.25">
      <c r="A57" s="289" t="s">
        <v>35</v>
      </c>
      <c r="B57" s="289"/>
      <c r="C57" s="289"/>
      <c r="D57" s="289"/>
      <c r="F57" s="47"/>
      <c r="G57" s="47"/>
      <c r="I57" s="47"/>
    </row>
    <row r="58" spans="1:9" ht="14" customHeight="1" x14ac:dyDescent="0.2">
      <c r="A58" s="386" t="s">
        <v>110</v>
      </c>
      <c r="B58" s="387"/>
      <c r="C58" s="399" t="str">
        <f>'3a Budget plan'!$B$5</f>
        <v>1. Tax efficient planned giving</v>
      </c>
      <c r="D58" s="399"/>
      <c r="E58" s="399"/>
      <c r="F58" s="304" cm="1">
        <f t="array" ref="F58">_xlfn.IFS('1 Start here'!$C$11="",'3a Budget plan'!F5,'1 Start here'!$C$12="",'3a Budget plan'!G5,'1 Start here'!$C$13="",'3a Budget plan'!H5,TRUE,'3a Budget plan'!I5)</f>
        <v>0</v>
      </c>
      <c r="G58" s="305">
        <f>'3a Budget plan'!$J$5</f>
        <v>0</v>
      </c>
      <c r="H58" s="306"/>
      <c r="I58" s="307">
        <f>'3a Budget plan'!$K$5</f>
        <v>0</v>
      </c>
    </row>
    <row r="59" spans="1:9" ht="14" x14ac:dyDescent="0.2">
      <c r="A59" s="388"/>
      <c r="B59" s="389"/>
      <c r="C59" s="395" t="str">
        <f>'3a Budget plan'!$B$6</f>
        <v>2. Other planned giving</v>
      </c>
      <c r="D59" s="395"/>
      <c r="E59" s="395"/>
      <c r="F59" s="77" cm="1">
        <f t="array" ref="F59">_xlfn.IFS('1 Start here'!$C$11="",'3a Budget plan'!F6,'1 Start here'!$C$12="",'3a Budget plan'!G6,'1 Start here'!$C$13="",'3a Budget plan'!H6,TRUE,'3a Budget plan'!I6)</f>
        <v>0</v>
      </c>
      <c r="G59" s="303">
        <f>'3a Budget plan'!$J$6</f>
        <v>0</v>
      </c>
      <c r="I59" s="308">
        <f>'3a Budget plan'!$K$6</f>
        <v>0</v>
      </c>
    </row>
    <row r="60" spans="1:9" ht="14" x14ac:dyDescent="0.2">
      <c r="A60" s="388"/>
      <c r="B60" s="389"/>
      <c r="C60" s="395" t="str">
        <f>'3a Budget plan'!$B$9</f>
        <v>6. Gift Aid recovered</v>
      </c>
      <c r="D60" s="395"/>
      <c r="E60" s="395"/>
      <c r="F60" s="77" cm="1">
        <f t="array" ref="F60">_xlfn.IFS('1 Start here'!$C$11="",'3a Budget plan'!F9,'1 Start here'!$C$12="",'3a Budget plan'!G9,'1 Start here'!$C$13="",'3a Budget plan'!H9,TRUE,'3a Budget plan'!I9)</f>
        <v>0</v>
      </c>
      <c r="G60" s="303">
        <f>'3a Budget plan'!$J$9</f>
        <v>0</v>
      </c>
      <c r="I60" s="308">
        <f>'3a Budget plan'!$K$9</f>
        <v>0</v>
      </c>
    </row>
    <row r="61" spans="1:9" ht="14" x14ac:dyDescent="0.2">
      <c r="A61" s="390"/>
      <c r="B61" s="391"/>
      <c r="C61" s="397" t="str">
        <f>'3a Budget plan'!$B$10</f>
        <v>6a. GASDS received</v>
      </c>
      <c r="D61" s="397"/>
      <c r="E61" s="397"/>
      <c r="F61" s="309" cm="1">
        <f t="array" ref="F61">_xlfn.IFS('1 Start here'!$C$11="",'3a Budget plan'!F10,'1 Start here'!$C$12="",'3a Budget plan'!G10,'1 Start here'!$C$13="",'3a Budget plan'!H10,TRUE,'3a Budget plan'!I10)</f>
        <v>0</v>
      </c>
      <c r="G61" s="310">
        <f>'3a Budget plan'!$J$10</f>
        <v>0</v>
      </c>
      <c r="H61" s="311"/>
      <c r="I61" s="312">
        <f>'3a Budget plan'!$K$10</f>
        <v>0</v>
      </c>
    </row>
    <row r="62" spans="1:9" ht="14" customHeight="1" x14ac:dyDescent="0.2">
      <c r="A62" s="386" t="s">
        <v>111</v>
      </c>
      <c r="B62" s="387"/>
      <c r="C62" s="399" t="str">
        <f>'3a Budget plan'!$B$7</f>
        <v>3. Collections at services</v>
      </c>
      <c r="D62" s="399"/>
      <c r="E62" s="399"/>
      <c r="F62" s="304" cm="1">
        <f t="array" ref="F62">_xlfn.IFS('1 Start here'!$C$11="",'3a Budget plan'!F7,'1 Start here'!$C$12="",'3a Budget plan'!G7,'1 Start here'!$C$13="",'3a Budget plan'!H7,TRUE,'3a Budget plan'!I7)</f>
        <v>0</v>
      </c>
      <c r="G62" s="305">
        <f>'3a Budget plan'!$J$7</f>
        <v>0</v>
      </c>
      <c r="H62" s="306"/>
      <c r="I62" s="307">
        <f>'3a Budget plan'!$K$7</f>
        <v>0</v>
      </c>
    </row>
    <row r="63" spans="1:9" ht="14" x14ac:dyDescent="0.2">
      <c r="A63" s="388"/>
      <c r="B63" s="389"/>
      <c r="C63" s="395" t="str">
        <f>'3a Budget plan'!$B$8</f>
        <v>4. All other unrestricted giving</v>
      </c>
      <c r="D63" s="395"/>
      <c r="E63" s="395"/>
      <c r="F63" s="77" cm="1">
        <f t="array" ref="F63">_xlfn.IFS('1 Start here'!$C$11="",'3a Budget plan'!F8,'1 Start here'!$C$12="",'3a Budget plan'!G8,'1 Start here'!$C$13="",'3a Budget plan'!H8,TRUE,'3a Budget plan'!I8)</f>
        <v>0</v>
      </c>
      <c r="G63" s="303">
        <f>'3a Budget plan'!$J$8</f>
        <v>0</v>
      </c>
      <c r="I63" s="308">
        <f>'3a Budget plan'!$K$8</f>
        <v>0</v>
      </c>
    </row>
    <row r="64" spans="1:9" ht="14" x14ac:dyDescent="0.2">
      <c r="A64" s="388"/>
      <c r="B64" s="389"/>
      <c r="C64" s="395" t="str">
        <f>'3a Budget plan'!$B$11</f>
        <v>7. Legacies received</v>
      </c>
      <c r="D64" s="395"/>
      <c r="E64" s="395"/>
      <c r="F64" s="77" cm="1">
        <f t="array" ref="F64">_xlfn.IFS('1 Start here'!$C$11="",'3a Budget plan'!F11,'1 Start here'!$C$12="",'3a Budget plan'!G11,'1 Start here'!$C$13="",'3a Budget plan'!H11,TRUE,'3a Budget plan'!I11)</f>
        <v>0</v>
      </c>
      <c r="G64" s="303">
        <f>'3a Budget plan'!$J$11</f>
        <v>0</v>
      </c>
      <c r="I64" s="308">
        <f>'3a Budget plan'!$K$11</f>
        <v>0</v>
      </c>
    </row>
    <row r="65" spans="1:9" ht="14" x14ac:dyDescent="0.2">
      <c r="A65" s="388"/>
      <c r="B65" s="389"/>
      <c r="C65" s="395" t="str">
        <f>'3a Budget plan'!$B$12</f>
        <v>8. Grants</v>
      </c>
      <c r="D65" s="395"/>
      <c r="E65" s="395"/>
      <c r="F65" s="77" cm="1">
        <f t="array" ref="F65">_xlfn.IFS('1 Start here'!$C$11="",'3a Budget plan'!F12,'1 Start here'!$C$12="",'3a Budget plan'!G12,'1 Start here'!$C$13="",'3a Budget plan'!H12,TRUE,'3a Budget plan'!I12)</f>
        <v>0</v>
      </c>
      <c r="G65" s="303">
        <f>'3a Budget plan'!$J$12</f>
        <v>0</v>
      </c>
      <c r="I65" s="308">
        <f>'3a Budget plan'!$K$12</f>
        <v>0</v>
      </c>
    </row>
    <row r="66" spans="1:9" ht="14" x14ac:dyDescent="0.2">
      <c r="A66" s="390"/>
      <c r="B66" s="391"/>
      <c r="C66" s="397" t="str">
        <f>'3a Budget plan'!$B$13</f>
        <v>9. Income from fundraising activities</v>
      </c>
      <c r="D66" s="397"/>
      <c r="E66" s="397"/>
      <c r="F66" s="309" cm="1">
        <f t="array" ref="F66">_xlfn.IFS('1 Start here'!$C$11="",'3a Budget plan'!F13,'1 Start here'!$C$12="",'3a Budget plan'!G13,'1 Start here'!$C$13="",'3a Budget plan'!H13,TRUE,'3a Budget plan'!I13)</f>
        <v>0</v>
      </c>
      <c r="G66" s="310">
        <f>'3a Budget plan'!$J$13</f>
        <v>0</v>
      </c>
      <c r="H66" s="311"/>
      <c r="I66" s="312">
        <f>'3a Budget plan'!$K$13</f>
        <v>0</v>
      </c>
    </row>
    <row r="67" spans="1:9" ht="14" customHeight="1" x14ac:dyDescent="0.2">
      <c r="A67" s="386" t="s">
        <v>112</v>
      </c>
      <c r="B67" s="387"/>
      <c r="C67" s="399" t="str">
        <f>'3a Budget plan'!$B$14</f>
        <v xml:space="preserve">10. Dividends, interest, income from property etc. </v>
      </c>
      <c r="D67" s="399"/>
      <c r="E67" s="399"/>
      <c r="F67" s="304" cm="1">
        <f t="array" ref="F67">_xlfn.IFS('1 Start here'!$C$11="",'3a Budget plan'!F14,'1 Start here'!$C$12="",'3a Budget plan'!G14,'1 Start here'!$C$13="",'3a Budget plan'!H14,TRUE,'3a Budget plan'!I14)</f>
        <v>0</v>
      </c>
      <c r="G67" s="305">
        <f>'3a Budget plan'!$J$14</f>
        <v>0</v>
      </c>
      <c r="H67" s="306"/>
      <c r="I67" s="307">
        <f>'3a Budget plan'!$K$14</f>
        <v>0</v>
      </c>
    </row>
    <row r="68" spans="1:9" ht="14" x14ac:dyDescent="0.2">
      <c r="A68" s="388"/>
      <c r="B68" s="389"/>
      <c r="C68" s="395" t="str">
        <f>'3a Budget plan'!$B$15</f>
        <v>11. Statutory fees retained by the PCC</v>
      </c>
      <c r="D68" s="395"/>
      <c r="E68" s="395"/>
      <c r="F68" s="77" cm="1">
        <f t="array" ref="F68">_xlfn.IFS('1 Start here'!$C$11="",'3a Budget plan'!F15,'1 Start here'!$C$12="",'3a Budget plan'!G15,'1 Start here'!$C$13="",'3a Budget plan'!H15,TRUE,'3a Budget plan'!I15)</f>
        <v>0</v>
      </c>
      <c r="G68" s="303">
        <f>'3a Budget plan'!$J$15</f>
        <v>0</v>
      </c>
      <c r="I68" s="308">
        <f>'3a Budget plan'!$K$15</f>
        <v>0</v>
      </c>
    </row>
    <row r="69" spans="1:9" ht="14" x14ac:dyDescent="0.2">
      <c r="A69" s="390"/>
      <c r="B69" s="391"/>
      <c r="C69" s="397" t="str">
        <f>'3a Budget plan'!$B$16</f>
        <v>12. Trading activities (gross proceeds)</v>
      </c>
      <c r="D69" s="397"/>
      <c r="E69" s="397"/>
      <c r="F69" s="309" cm="1">
        <f t="array" ref="F69">_xlfn.IFS('1 Start here'!$C$11="",'3a Budget plan'!F16,'1 Start here'!$C$12="",'3a Budget plan'!G16,'1 Start here'!$C$13="",'3a Budget plan'!H16,TRUE,'3a Budget plan'!I16)</f>
        <v>0</v>
      </c>
      <c r="G69" s="310">
        <f>'3a Budget plan'!$J$16</f>
        <v>0</v>
      </c>
      <c r="H69" s="311"/>
      <c r="I69" s="312">
        <f>'3a Budget plan'!$K$16</f>
        <v>0</v>
      </c>
    </row>
    <row r="70" spans="1:9" ht="14" customHeight="1" x14ac:dyDescent="0.2">
      <c r="A70" s="392" t="s">
        <v>113</v>
      </c>
      <c r="B70" s="393"/>
      <c r="C70" s="400" t="str">
        <f>'3a Budget plan'!$B$17</f>
        <v>13. Any other income / receipts</v>
      </c>
      <c r="D70" s="400"/>
      <c r="E70" s="400"/>
      <c r="F70" s="313" cm="1">
        <f t="array" ref="F70">_xlfn.IFS('1 Start here'!$C$11="",'3a Budget plan'!F17,'1 Start here'!$C$12="",'3a Budget plan'!G17,'1 Start here'!$C$13="",'3a Budget plan'!H17,TRUE,'3a Budget plan'!I17)</f>
        <v>0</v>
      </c>
      <c r="G70" s="314">
        <f>'3a Budget plan'!$J$17</f>
        <v>0</v>
      </c>
      <c r="H70" s="315"/>
      <c r="I70" s="316">
        <f>'3a Budget plan'!$K$17</f>
        <v>0</v>
      </c>
    </row>
    <row r="71" spans="1:9" ht="16" thickBot="1" x14ac:dyDescent="0.25">
      <c r="A71" s="302"/>
      <c r="B71" s="302"/>
      <c r="C71" s="301"/>
      <c r="E71" s="53" t="s">
        <v>58</v>
      </c>
      <c r="F71" s="78">
        <f>SUM(F58:F70)</f>
        <v>0</v>
      </c>
      <c r="G71" s="80">
        <f>SUM(G58:G70)</f>
        <v>0</v>
      </c>
      <c r="I71" s="82">
        <f>SUM(I58:I70)</f>
        <v>0</v>
      </c>
    </row>
    <row r="72" spans="1:9" ht="16" thickTop="1" x14ac:dyDescent="0.2">
      <c r="A72" s="46"/>
      <c r="C72" s="46"/>
      <c r="D72" s="53"/>
      <c r="E72" s="47"/>
      <c r="F72" s="47"/>
      <c r="G72" s="47"/>
    </row>
    <row r="73" spans="1:9" ht="18" x14ac:dyDescent="0.25">
      <c r="A73" s="289" t="s">
        <v>59</v>
      </c>
      <c r="B73" s="289"/>
      <c r="C73" s="289"/>
      <c r="D73" s="289"/>
      <c r="E73" s="47"/>
      <c r="F73" s="47"/>
      <c r="G73" s="47"/>
    </row>
    <row r="74" spans="1:9" ht="14" customHeight="1" x14ac:dyDescent="0.2">
      <c r="A74" s="386" t="s">
        <v>114</v>
      </c>
      <c r="B74" s="387"/>
      <c r="C74" s="398" t="str">
        <f>'3a Budget plan'!$B$21</f>
        <v>17. Fund-raising activites</v>
      </c>
      <c r="D74" s="399"/>
      <c r="E74" s="399"/>
      <c r="F74" s="304" cm="1">
        <f t="array" ref="F74">_xlfn.IFS('1 Start here'!$C$11="",'3a Budget plan'!F21,'1 Start here'!$C$12="",'3a Budget plan'!G21,'1 Start here'!$C$13="",'3a Budget plan'!H21,TRUE,'3a Budget plan'!I21)</f>
        <v>0</v>
      </c>
      <c r="G74" s="305">
        <f>'3a Budget plan'!$J$21</f>
        <v>0</v>
      </c>
      <c r="H74" s="306"/>
      <c r="I74" s="307">
        <f>'3a Budget plan'!$K$21</f>
        <v>0</v>
      </c>
    </row>
    <row r="75" spans="1:9" ht="14" x14ac:dyDescent="0.2">
      <c r="A75" s="388"/>
      <c r="B75" s="389"/>
      <c r="C75" s="394" t="str">
        <f>'3a Budget plan'!$B$22</f>
        <v>18. Mission giving and donations</v>
      </c>
      <c r="D75" s="395"/>
      <c r="E75" s="395"/>
      <c r="F75" s="77" cm="1">
        <f t="array" ref="F75">_xlfn.IFS('1 Start here'!$C$11="",'3a Budget plan'!F22,'1 Start here'!$C$12="",'3a Budget plan'!G22,'1 Start here'!$C$13="",'3a Budget plan'!H22,TRUE,'3a Budget plan'!I22)</f>
        <v>0</v>
      </c>
      <c r="G75" s="303">
        <f>'3a Budget plan'!$J$22</f>
        <v>0</v>
      </c>
      <c r="I75" s="308">
        <f>'3a Budget plan'!$K$22</f>
        <v>0</v>
      </c>
    </row>
    <row r="76" spans="1:9" ht="14" x14ac:dyDescent="0.2">
      <c r="A76" s="388"/>
      <c r="B76" s="389"/>
      <c r="C76" s="394" t="str">
        <f>'3a Budget plan'!$B$24</f>
        <v>20. Salaries, wages and honararia</v>
      </c>
      <c r="D76" s="395"/>
      <c r="E76" s="395"/>
      <c r="F76" s="77" cm="1">
        <f t="array" ref="F76">_xlfn.IFS('1 Start here'!$C$11="",'3a Budget plan'!F24,'1 Start here'!$C$12="",'3a Budget plan'!G24,'1 Start here'!$C$13="",'3a Budget plan'!H24,TRUE,'3a Budget plan'!I24)</f>
        <v>0</v>
      </c>
      <c r="G76" s="303">
        <f>'3a Budget plan'!$J$24</f>
        <v>0</v>
      </c>
      <c r="I76" s="308">
        <f>'3a Budget plan'!$K$24</f>
        <v>0</v>
      </c>
    </row>
    <row r="77" spans="1:9" ht="14" x14ac:dyDescent="0.2">
      <c r="A77" s="388"/>
      <c r="B77" s="389"/>
      <c r="C77" s="394" t="str">
        <f>'3a Budget plan'!$B$26</f>
        <v>22. Mission and evangelism costs</v>
      </c>
      <c r="D77" s="395"/>
      <c r="E77" s="395"/>
      <c r="F77" s="77" cm="1">
        <f t="array" ref="F77">_xlfn.IFS('1 Start here'!$C$11="",'3a Budget plan'!F26,'1 Start here'!$C$12="",'3a Budget plan'!G26,'1 Start here'!$C$13="",'3a Budget plan'!H26,TRUE,'3a Budget plan'!I26)</f>
        <v>0</v>
      </c>
      <c r="G77" s="303">
        <f>'3a Budget plan'!$J$26</f>
        <v>0</v>
      </c>
      <c r="I77" s="308">
        <f>'3a Budget plan'!$K$26</f>
        <v>0</v>
      </c>
    </row>
    <row r="78" spans="1:9" ht="14" x14ac:dyDescent="0.2">
      <c r="A78" s="390"/>
      <c r="B78" s="391"/>
      <c r="C78" s="396" t="str">
        <f>'3a Budget plan'!$B$31</f>
        <v>25. Cost of trading</v>
      </c>
      <c r="D78" s="397"/>
      <c r="E78" s="397"/>
      <c r="F78" s="309" cm="1">
        <f t="array" ref="F78">_xlfn.IFS('1 Start here'!$C$11="",'3a Budget plan'!F31,'1 Start here'!$C$12="",'3a Budget plan'!G31,'1 Start here'!$C$13="",'3a Budget plan'!H31,TRUE,'3a Budget plan'!I31)</f>
        <v>0</v>
      </c>
      <c r="G78" s="310">
        <f>'3a Budget plan'!$J$31</f>
        <v>0</v>
      </c>
      <c r="H78" s="311"/>
      <c r="I78" s="312">
        <f>'3a Budget plan'!$K$31</f>
        <v>0</v>
      </c>
    </row>
    <row r="79" spans="1:9" ht="14" customHeight="1" x14ac:dyDescent="0.2">
      <c r="A79" s="386" t="s">
        <v>115</v>
      </c>
      <c r="B79" s="387"/>
      <c r="C79" s="398" t="str">
        <f>'3a Budget plan'!$B$23</f>
        <v>19. Deanery Share / Parish Share contribution</v>
      </c>
      <c r="D79" s="399"/>
      <c r="E79" s="399"/>
      <c r="F79" s="304" cm="1">
        <f t="array" ref="F79">_xlfn.IFS('1 Start here'!$C$11="",'3a Budget plan'!F23,'1 Start here'!$C$12="",'3a Budget plan'!G23,'1 Start here'!$C$13="",'3a Budget plan'!H23,TRUE,'3a Budget plan'!I23)</f>
        <v>0</v>
      </c>
      <c r="G79" s="305">
        <f>'3a Budget plan'!$J$23</f>
        <v>0</v>
      </c>
      <c r="H79" s="306"/>
      <c r="I79" s="307">
        <f>'3a Budget plan'!$K$23</f>
        <v>0</v>
      </c>
    </row>
    <row r="80" spans="1:9" ht="14" x14ac:dyDescent="0.2">
      <c r="A80" s="388"/>
      <c r="B80" s="389"/>
      <c r="C80" s="394" t="str">
        <f>'3a Budget plan'!$B$25</f>
        <v>21. Clergy and staff expenses</v>
      </c>
      <c r="D80" s="395"/>
      <c r="E80" s="395"/>
      <c r="F80" s="77" cm="1">
        <f t="array" ref="F80">_xlfn.IFS('1 Start here'!$C$11="",'3a Budget plan'!F25,'1 Start here'!$C$12="",'3a Budget plan'!G25,'1 Start here'!$C$13="",'3a Budget plan'!H25,TRUE,'3a Budget plan'!I25)</f>
        <v>0</v>
      </c>
      <c r="G80" s="303">
        <f>'3a Budget plan'!$J$25</f>
        <v>0</v>
      </c>
      <c r="I80" s="308">
        <f>'3a Budget plan'!$K$25</f>
        <v>0</v>
      </c>
    </row>
    <row r="81" spans="1:9" ht="14" customHeight="1" x14ac:dyDescent="0.2">
      <c r="A81" s="386" t="s">
        <v>116</v>
      </c>
      <c r="B81" s="387"/>
      <c r="C81" s="398" t="str">
        <f>'3a Budget plan'!$B$27</f>
        <v>23a. Church running expenses (inc. Governance)</v>
      </c>
      <c r="D81" s="399"/>
      <c r="E81" s="399"/>
      <c r="F81" s="304" cm="1">
        <f t="array" ref="F81">_xlfn.IFS('1 Start here'!$C$11="",'3a Budget plan'!F27,'1 Start here'!$C$12="",'3a Budget plan'!G27,'1 Start here'!$C$13="",'3a Budget plan'!H27,TRUE,'3a Budget plan'!I27)</f>
        <v>0</v>
      </c>
      <c r="G81" s="305">
        <f>'3a Budget plan'!$J$27</f>
        <v>0</v>
      </c>
      <c r="H81" s="306"/>
      <c r="I81" s="307">
        <f>'3a Budget plan'!$K$27</f>
        <v>0</v>
      </c>
    </row>
    <row r="82" spans="1:9" ht="14" x14ac:dyDescent="0.2">
      <c r="A82" s="388"/>
      <c r="B82" s="389"/>
      <c r="C82" s="394" t="str">
        <f>'3a Budget plan'!$B$28</f>
        <v>23b. Church building maintenance costs</v>
      </c>
      <c r="D82" s="395"/>
      <c r="E82" s="395"/>
      <c r="F82" s="77" cm="1">
        <f t="array" ref="F82">_xlfn.IFS('1 Start here'!$C$11="",'3a Budget plan'!F28,'1 Start here'!$C$12="",'3a Budget plan'!G28,'1 Start here'!$C$13="",'3a Budget plan'!H28,TRUE,'3a Budget plan'!I28)</f>
        <v>0</v>
      </c>
      <c r="G82" s="303">
        <f>'3a Budget plan'!$J$28</f>
        <v>0</v>
      </c>
      <c r="I82" s="308">
        <f>'3a Budget plan'!$K$28</f>
        <v>0</v>
      </c>
    </row>
    <row r="83" spans="1:9" ht="14" x14ac:dyDescent="0.2">
      <c r="A83" s="388"/>
      <c r="B83" s="389"/>
      <c r="C83" s="394" t="str">
        <f>'3a Budget plan'!$B$29</f>
        <v>23c. Church building insurance (inc. contents)</v>
      </c>
      <c r="D83" s="395"/>
      <c r="E83" s="395"/>
      <c r="F83" s="77" cm="1">
        <f t="array" ref="F83">_xlfn.IFS('1 Start here'!$C$11="",'3a Budget plan'!F29,'1 Start here'!$C$12="",'3a Budget plan'!G29,'1 Start here'!$C$13="",'3a Budget plan'!H29,TRUE,'3a Budget plan'!I29)</f>
        <v>0</v>
      </c>
      <c r="G83" s="303">
        <f>'3a Budget plan'!$J$29</f>
        <v>0</v>
      </c>
      <c r="I83" s="308">
        <f>'3a Budget plan'!$K$29</f>
        <v>0</v>
      </c>
    </row>
    <row r="84" spans="1:9" ht="14" x14ac:dyDescent="0.2">
      <c r="A84" s="390"/>
      <c r="B84" s="391"/>
      <c r="C84" s="396" t="str">
        <f>'3a Budget plan'!$B$30</f>
        <v>24. Church utility bills</v>
      </c>
      <c r="D84" s="397"/>
      <c r="E84" s="397"/>
      <c r="F84" s="309" cm="1">
        <f t="array" ref="F84">_xlfn.IFS('1 Start here'!$C$11="",'3a Budget plan'!F30,'1 Start here'!$C$12="",'3a Budget plan'!G30,'1 Start here'!$C$13="",'3a Budget plan'!H30,TRUE,'3a Budget plan'!I30)</f>
        <v>0</v>
      </c>
      <c r="G84" s="310">
        <f>'3a Budget plan'!$J$30</f>
        <v>0</v>
      </c>
      <c r="H84" s="311"/>
      <c r="I84" s="312">
        <f>'3a Budget plan'!$K$30</f>
        <v>0</v>
      </c>
    </row>
    <row r="85" spans="1:9" ht="14" x14ac:dyDescent="0.2">
      <c r="A85" s="386" t="s">
        <v>117</v>
      </c>
      <c r="B85" s="387"/>
      <c r="C85" s="398" t="str">
        <f>'3a Budget plan'!$B$32</f>
        <v>27. Major repairs to the church building</v>
      </c>
      <c r="D85" s="399"/>
      <c r="E85" s="399"/>
      <c r="F85" s="304" cm="1">
        <f t="array" ref="F85">_xlfn.IFS('1 Start here'!$C$11="",'3a Budget plan'!F32,'1 Start here'!$C$12="",'3a Budget plan'!G32,'1 Start here'!$C$13="",'3a Budget plan'!H32,TRUE,'3a Budget plan'!I32)</f>
        <v>0</v>
      </c>
      <c r="G85" s="305">
        <f>'3a Budget plan'!$J$32</f>
        <v>0</v>
      </c>
      <c r="H85" s="306"/>
      <c r="I85" s="307">
        <f>'3a Budget plan'!$K$32</f>
        <v>0</v>
      </c>
    </row>
    <row r="86" spans="1:9" ht="14" customHeight="1" x14ac:dyDescent="0.2">
      <c r="A86" s="388"/>
      <c r="B86" s="389"/>
      <c r="C86" s="394" t="str">
        <f>'3a Budget plan'!$B$33</f>
        <v>28. Major repairs to PCC property</v>
      </c>
      <c r="D86" s="395"/>
      <c r="E86" s="395"/>
      <c r="F86" s="77" cm="1">
        <f t="array" ref="F86">_xlfn.IFS('1 Start here'!$C$11="",'3a Budget plan'!F33,'1 Start here'!$C$12="",'3a Budget plan'!G33,'1 Start here'!$C$13="",'3a Budget plan'!H33,TRUE,'3a Budget plan'!I33)</f>
        <v>0</v>
      </c>
      <c r="G86" s="303">
        <f>'3a Budget plan'!$J$33</f>
        <v>0</v>
      </c>
      <c r="I86" s="308">
        <f>'3a Budget plan'!$K$33</f>
        <v>0</v>
      </c>
    </row>
    <row r="87" spans="1:9" ht="14" x14ac:dyDescent="0.2">
      <c r="A87" s="388"/>
      <c r="B87" s="389"/>
      <c r="C87" s="394" t="str">
        <f>'3a Budget plan'!$B$34</f>
        <v>29. New building work</v>
      </c>
      <c r="D87" s="395"/>
      <c r="E87" s="395"/>
      <c r="F87" s="77" cm="1">
        <f t="array" ref="F87">_xlfn.IFS('1 Start here'!$C$11="",'3a Budget plan'!F34,'1 Start here'!$C$12="",'3a Budget plan'!G34,'1 Start here'!$C$13="",'3a Budget plan'!H34,TRUE,'3a Budget plan'!I34)</f>
        <v>0</v>
      </c>
      <c r="G87" s="303">
        <f>'3a Budget plan'!$J$34</f>
        <v>0</v>
      </c>
      <c r="I87" s="308">
        <f>'3a Budget plan'!$K$34</f>
        <v>0</v>
      </c>
    </row>
    <row r="88" spans="1:9" ht="14" customHeight="1" x14ac:dyDescent="0.2">
      <c r="A88" s="388"/>
      <c r="B88" s="389"/>
      <c r="C88" s="394" t="str">
        <f>'3a Budget plan'!$C$35</f>
        <v>New activity 1</v>
      </c>
      <c r="D88" s="395"/>
      <c r="E88" s="395"/>
      <c r="F88" s="77" cm="1">
        <f t="array" ref="F88">_xlfn.IFS('1 Start here'!$C$11="",'3a Budget plan'!F35,'1 Start here'!$C$12="",'3a Budget plan'!G35,'1 Start here'!$C$13="",'3a Budget plan'!H35,TRUE,'3a Budget plan'!I35)</f>
        <v>0</v>
      </c>
      <c r="G88" s="303">
        <f>'3a Budget plan'!$J$35</f>
        <v>0</v>
      </c>
      <c r="I88" s="308">
        <f>'3a Budget plan'!$K$35</f>
        <v>0</v>
      </c>
    </row>
    <row r="89" spans="1:9" ht="14" x14ac:dyDescent="0.2">
      <c r="A89" s="388"/>
      <c r="B89" s="389"/>
      <c r="C89" s="394" t="str">
        <f>'3a Budget plan'!$C$36</f>
        <v>New activity 2</v>
      </c>
      <c r="D89" s="395"/>
      <c r="E89" s="395"/>
      <c r="F89" s="77" cm="1">
        <f t="array" ref="F89">_xlfn.IFS('1 Start here'!$C$11="",'3a Budget plan'!F36,'1 Start here'!$C$12="",'3a Budget plan'!G36,'1 Start here'!$C$13="",'3a Budget plan'!H36,TRUE,'3a Budget plan'!I36)</f>
        <v>0</v>
      </c>
      <c r="G89" s="303">
        <f>'3a Budget plan'!$J$36</f>
        <v>0</v>
      </c>
      <c r="I89" s="308">
        <f>'3a Budget plan'!$K$36</f>
        <v>0</v>
      </c>
    </row>
    <row r="90" spans="1:9" ht="14" x14ac:dyDescent="0.2">
      <c r="A90" s="390"/>
      <c r="B90" s="391"/>
      <c r="C90" s="396" t="str">
        <f>'3a Budget plan'!$C$37</f>
        <v>New activity 3</v>
      </c>
      <c r="D90" s="397"/>
      <c r="E90" s="397"/>
      <c r="F90" s="309" cm="1">
        <f t="array" ref="F90">_xlfn.IFS('1 Start here'!$C$11="",'3a Budget plan'!F37,'1 Start here'!$C$12="",'3a Budget plan'!G37,'1 Start here'!$C$13="",'3a Budget plan'!H37,TRUE,'3a Budget plan'!I37)</f>
        <v>0</v>
      </c>
      <c r="G90" s="310">
        <f>'3a Budget plan'!$J$37</f>
        <v>0</v>
      </c>
      <c r="H90" s="311"/>
      <c r="I90" s="312">
        <f>'3a Budget plan'!$K$37</f>
        <v>0</v>
      </c>
    </row>
    <row r="91" spans="1:9" ht="16" thickBot="1" x14ac:dyDescent="0.25">
      <c r="A91" s="46"/>
      <c r="B91" s="46"/>
      <c r="C91" s="46"/>
      <c r="E91" s="52" t="s">
        <v>79</v>
      </c>
      <c r="F91" s="78">
        <f>SUM(F74:F90)</f>
        <v>0</v>
      </c>
      <c r="G91" s="80">
        <f>SUM(G74:G90)</f>
        <v>0</v>
      </c>
      <c r="I91" s="82">
        <f>SUM(I74:I90)</f>
        <v>0</v>
      </c>
    </row>
    <row r="92" spans="1:9" ht="15" thickTop="1" x14ac:dyDescent="0.2">
      <c r="A92" s="46"/>
      <c r="B92" s="46"/>
      <c r="C92" s="46"/>
      <c r="E92" s="46"/>
      <c r="F92" s="47"/>
      <c r="G92" s="47"/>
      <c r="I92" s="47"/>
    </row>
    <row r="93" spans="1:9" ht="16" thickBot="1" x14ac:dyDescent="0.25">
      <c r="A93" s="46"/>
      <c r="C93" s="46"/>
      <c r="E93" s="53" t="s">
        <v>80</v>
      </c>
      <c r="F93" s="79">
        <f>F71-F91</f>
        <v>0</v>
      </c>
      <c r="G93" s="81">
        <f>G71-G91</f>
        <v>0</v>
      </c>
      <c r="I93" s="83">
        <f>I71-I91</f>
        <v>0</v>
      </c>
    </row>
    <row r="94" spans="1:9" ht="16" thickTop="1" x14ac:dyDescent="0.2">
      <c r="A94" s="46"/>
      <c r="C94" s="46"/>
      <c r="D94" s="53"/>
      <c r="E94" s="176"/>
      <c r="F94" s="176"/>
      <c r="G94" s="176"/>
    </row>
    <row r="95" spans="1:9" ht="18" x14ac:dyDescent="0.25">
      <c r="A95" s="412" t="str">
        <f>'3a Budget plan'!$B$41</f>
        <v>Use of Reserves</v>
      </c>
      <c r="B95" s="413"/>
      <c r="C95" s="413"/>
      <c r="D95" s="413"/>
      <c r="E95" s="176"/>
      <c r="F95" s="176"/>
      <c r="G95" s="176"/>
    </row>
    <row r="96" spans="1:9" ht="15" x14ac:dyDescent="0.2">
      <c r="C96" s="46" t="str">
        <f>'3a Budget plan'!$B$42</f>
        <v>Use of unrestricted reserves</v>
      </c>
      <c r="D96" s="53"/>
      <c r="E96" s="176"/>
      <c r="F96" s="176"/>
      <c r="I96" s="177">
        <f>'3a Budget plan'!$K$42</f>
        <v>0</v>
      </c>
    </row>
    <row r="97" spans="1:17" ht="15" x14ac:dyDescent="0.2">
      <c r="C97" s="46" t="str">
        <f>'3a Budget plan'!$B$43</f>
        <v>Legitimate use of restricted funds</v>
      </c>
      <c r="D97" s="53"/>
      <c r="E97" s="176"/>
      <c r="F97" s="176"/>
      <c r="I97" s="177">
        <f>'3a Budget plan'!$K$43</f>
        <v>0</v>
      </c>
    </row>
    <row r="98" spans="1:17" ht="14" x14ac:dyDescent="0.2">
      <c r="A98" s="46"/>
      <c r="B98" s="46"/>
      <c r="C98" s="46"/>
      <c r="D98" s="46"/>
      <c r="E98" s="46"/>
      <c r="F98" s="47"/>
      <c r="I98" s="47"/>
    </row>
    <row r="99" spans="1:17" ht="17" thickBot="1" x14ac:dyDescent="0.25">
      <c r="A99" s="46"/>
      <c r="B99" s="46"/>
      <c r="C99" s="46"/>
      <c r="D99" s="46"/>
      <c r="E99" s="46"/>
      <c r="G99" s="321" t="str">
        <f>'3a Budget plan'!$J$45</f>
        <v xml:space="preserve">Overall Surplus/Shortfall  </v>
      </c>
      <c r="I99" s="162">
        <f>I93+I96+I97</f>
        <v>0</v>
      </c>
    </row>
    <row r="100" spans="1:17" ht="15" thickTop="1" x14ac:dyDescent="0.2">
      <c r="A100" s="46"/>
      <c r="B100" s="46"/>
      <c r="C100" s="46"/>
      <c r="D100" s="46"/>
      <c r="E100" s="46"/>
      <c r="F100" s="47"/>
      <c r="G100" s="47"/>
      <c r="H100" s="47"/>
    </row>
    <row r="101" spans="1:17" ht="18" customHeight="1" x14ac:dyDescent="0.25">
      <c r="A101" s="46"/>
      <c r="B101" s="46"/>
      <c r="C101" s="355" t="str">
        <f>'3a Budget plan'!$F$47</f>
        <v>No increase in planned giving required</v>
      </c>
      <c r="D101" s="355"/>
      <c r="E101" s="355"/>
      <c r="F101" s="355"/>
      <c r="G101" s="355"/>
      <c r="I101" s="173" t="str">
        <f>'3a Budget plan'!$K$47</f>
        <v/>
      </c>
    </row>
    <row r="102" spans="1:17" ht="14" x14ac:dyDescent="0.2">
      <c r="A102" s="46"/>
      <c r="B102" s="46"/>
      <c r="C102" s="46"/>
      <c r="D102" s="46"/>
      <c r="E102" s="46"/>
      <c r="F102" s="47"/>
      <c r="G102" s="35"/>
      <c r="H102" s="204" t="str">
        <f>'3a Budget plan'!K48</f>
        <v/>
      </c>
    </row>
    <row r="103" spans="1:17" ht="21" thickBot="1" x14ac:dyDescent="0.3">
      <c r="A103" s="407" t="s">
        <v>194</v>
      </c>
      <c r="B103" s="407"/>
      <c r="C103" s="407"/>
      <c r="D103" s="407"/>
      <c r="E103" s="407"/>
      <c r="F103" s="407"/>
      <c r="G103" s="407"/>
      <c r="H103" s="407"/>
      <c r="I103" s="407"/>
    </row>
    <row r="104" spans="1:17" ht="55.25" customHeight="1" thickTop="1" x14ac:dyDescent="0.2">
      <c r="A104" s="408" t="s">
        <v>195</v>
      </c>
      <c r="B104" s="408"/>
      <c r="C104" s="408"/>
      <c r="D104" s="408"/>
      <c r="E104" s="408"/>
      <c r="F104" s="408"/>
      <c r="G104" s="408"/>
      <c r="H104" s="408"/>
      <c r="I104" s="408"/>
    </row>
    <row r="105" spans="1:17" ht="23.5" customHeight="1" x14ac:dyDescent="0.2">
      <c r="A105" s="408" t="str">
        <f>"Read the table as a whole:"</f>
        <v>Read the table as a whole:</v>
      </c>
      <c r="B105" s="408"/>
      <c r="C105" s="408"/>
      <c r="D105" s="408"/>
      <c r="E105" s="408"/>
      <c r="F105" s="408"/>
      <c r="G105" s="408"/>
      <c r="H105" s="408"/>
      <c r="I105" s="408"/>
    </row>
    <row r="106" spans="1:17" ht="14" x14ac:dyDescent="0.2">
      <c r="A106" s="408" t="str">
        <f>"&gt; It will take " &amp; C117 &amp; " people to give an extra " &amp; TEXT(F117,"£#,##0") &amp; " per week between them, in addition to their current giving."</f>
        <v>&gt; It will take 0 people to give an extra £0 per week between them, in addition to their current giving.</v>
      </c>
      <c r="B106" s="408"/>
      <c r="C106" s="408"/>
      <c r="D106" s="408"/>
      <c r="E106" s="408"/>
      <c r="F106" s="408"/>
      <c r="G106" s="408"/>
      <c r="H106" s="408"/>
      <c r="I106" s="408"/>
    </row>
    <row r="107" spans="1:17" ht="13.25" customHeight="1" x14ac:dyDescent="0.2">
      <c r="A107" s="408" t="str">
        <f xml:space="preserve"> "&gt; So we need " &amp; C110 &amp; IF(C110=1," person"," people") &amp; " to give an extra " &amp; TEXT(D110,"£#,##0.00") &amp; " per week, AND " &amp; C111 &amp; IF(C111=1," person"," people") &amp; " to give an extra " &amp; TEXT(D111,"£#,##0.00") &amp; " per week, AND … ..."</f>
        <v>&gt; So we need 0 people to give an extra  per week, AND 0 people to give an extra  per week, AND … ...</v>
      </c>
      <c r="B107" s="408"/>
      <c r="C107" s="408"/>
      <c r="D107" s="408"/>
      <c r="E107" s="408"/>
      <c r="F107" s="408"/>
      <c r="G107" s="408"/>
      <c r="H107" s="408"/>
      <c r="I107" s="408"/>
    </row>
    <row r="108" spans="1:17" ht="15.5" customHeight="1" thickBot="1" x14ac:dyDescent="0.2">
      <c r="K108" s="44"/>
      <c r="L108" s="44"/>
      <c r="M108" s="44"/>
      <c r="N108" s="44"/>
      <c r="O108" s="44"/>
      <c r="P108" s="44"/>
      <c r="Q108" s="44"/>
    </row>
    <row r="109" spans="1:17" s="44" customFormat="1" ht="53" customHeight="1" x14ac:dyDescent="0.2">
      <c r="C109" s="85" t="str">
        <f>IF('3b Gift array'!$F$31 = "No",'3b Gift array'!B8,'3b Gift array'!B21)</f>
        <v>If this many people…</v>
      </c>
      <c r="D109" s="84" t="str">
        <f>IF('3b Gift array'!$F$31 = "No",'3b Gift array'!C8,'3b Gift array'!C21)</f>
        <v>…each increase their weekly giving by…</v>
      </c>
      <c r="E109" s="84" t="str">
        <f>IF('3b Gift array'!$F$31 = "No",'3b Gift array'!E8,'3b Gift array'!E21)</f>
        <v>…or their monthly giving by…</v>
      </c>
      <c r="F109" s="84" t="str">
        <f>IF('3b Gift array'!$F$31 = "No",'3b Gift array'!F8,'3b Gift array'!F21)</f>
        <v>…we will raise extra weekly income</v>
      </c>
      <c r="K109"/>
      <c r="L109"/>
      <c r="M109"/>
      <c r="N109"/>
      <c r="O109"/>
      <c r="P109"/>
      <c r="Q109"/>
    </row>
    <row r="110" spans="1:17" ht="14" x14ac:dyDescent="0.2">
      <c r="C110" s="55">
        <f>IF('3b Gift array'!$F$31 = "No",'3b Gift array'!B9,'3b Gift array'!B22)</f>
        <v>0</v>
      </c>
      <c r="D110" s="54" t="str">
        <f>IF('3b Gift array'!$F$31 = "No",'3b Gift array'!C9,'3b Gift array'!C22)</f>
        <v/>
      </c>
      <c r="E110" s="59" t="str">
        <f>IF('3b Gift array'!$F$31 = "No",'3b Gift array'!E9,'3b Gift array'!E22)</f>
        <v/>
      </c>
      <c r="F110" s="91">
        <f>IF('3b Gift array'!$F$31 = "No",'3b Gift array'!F9,'3b Gift array'!F22)</f>
        <v>0</v>
      </c>
    </row>
    <row r="111" spans="1:17" ht="14" x14ac:dyDescent="0.2">
      <c r="C111" s="87">
        <f>IF('3b Gift array'!$F$31 = "No",'3b Gift array'!B10,'3b Gift array'!B23)</f>
        <v>0</v>
      </c>
      <c r="D111" s="86" t="str">
        <f>IF('3b Gift array'!$F$31 = "No",'3b Gift array'!C10,'3b Gift array'!C23)</f>
        <v/>
      </c>
      <c r="E111" s="90" t="str">
        <f>IF('3b Gift array'!$F$31 = "No",'3b Gift array'!E10,'3b Gift array'!E23)</f>
        <v/>
      </c>
      <c r="F111" s="92">
        <f>IF('3b Gift array'!$F$31 = "No",'3b Gift array'!F10,'3b Gift array'!F23)</f>
        <v>0</v>
      </c>
    </row>
    <row r="112" spans="1:17" ht="14" x14ac:dyDescent="0.2">
      <c r="C112" s="55">
        <f>IF('3b Gift array'!$F$31 = "No",'3b Gift array'!B11,'3b Gift array'!B24)</f>
        <v>0</v>
      </c>
      <c r="D112" s="54" t="str">
        <f>IF('3b Gift array'!$F$31 = "No",'3b Gift array'!C11,'3b Gift array'!C24)</f>
        <v/>
      </c>
      <c r="E112" s="59" t="str">
        <f>IF('3b Gift array'!$F$31 = "No",'3b Gift array'!E11,'3b Gift array'!E24)</f>
        <v/>
      </c>
      <c r="F112" s="91">
        <f>IF('3b Gift array'!$F$31 = "No",'3b Gift array'!F11,'3b Gift array'!F24)</f>
        <v>0</v>
      </c>
    </row>
    <row r="113" spans="1:9" ht="14" x14ac:dyDescent="0.2">
      <c r="C113" s="87">
        <f>IF('3b Gift array'!$F$31 = "No",'3b Gift array'!B12,'3b Gift array'!B25)</f>
        <v>0</v>
      </c>
      <c r="D113" s="86" t="str">
        <f>IF('3b Gift array'!$F$31 = "No",'3b Gift array'!C12,'3b Gift array'!C25)</f>
        <v/>
      </c>
      <c r="E113" s="90" t="str">
        <f>IF('3b Gift array'!$F$31 = "No",'3b Gift array'!E12,'3b Gift array'!E25)</f>
        <v/>
      </c>
      <c r="F113" s="92">
        <f>IF('3b Gift array'!$F$31 = "No",'3b Gift array'!F12,'3b Gift array'!F25)</f>
        <v>0</v>
      </c>
    </row>
    <row r="114" spans="1:9" ht="14" x14ac:dyDescent="0.2">
      <c r="C114" s="55">
        <f>IF('3b Gift array'!$F$31 = "No",'3b Gift array'!B13,'3b Gift array'!B26)</f>
        <v>0</v>
      </c>
      <c r="D114" s="54" t="str">
        <f>IF('3b Gift array'!$F$31 = "No",'3b Gift array'!C13,'3b Gift array'!C26)</f>
        <v/>
      </c>
      <c r="E114" s="59" t="str">
        <f>IF('3b Gift array'!$F$31 = "No",'3b Gift array'!E13,'3b Gift array'!E26)</f>
        <v/>
      </c>
      <c r="F114" s="91">
        <f>IF('3b Gift array'!$F$31 = "No",'3b Gift array'!F13,'3b Gift array'!F26)</f>
        <v>0</v>
      </c>
    </row>
    <row r="115" spans="1:9" ht="14" x14ac:dyDescent="0.2">
      <c r="C115" s="87">
        <f>IF('3b Gift array'!$F$31 = "No",'3b Gift array'!B14,'3b Gift array'!B27)</f>
        <v>0</v>
      </c>
      <c r="D115" s="86" t="str">
        <f>IF('3b Gift array'!$F$31 = "No",'3b Gift array'!C14,'3b Gift array'!C27)</f>
        <v/>
      </c>
      <c r="E115" s="90" t="str">
        <f>IF('3b Gift array'!$F$31 = "No",'3b Gift array'!E14,'3b Gift array'!E27)</f>
        <v/>
      </c>
      <c r="F115" s="92">
        <f>IF('3b Gift array'!$F$31 = "No",'3b Gift array'!F14,'3b Gift array'!F27)</f>
        <v>0</v>
      </c>
    </row>
    <row r="116" spans="1:9" ht="15" thickBot="1" x14ac:dyDescent="0.25">
      <c r="C116" s="57">
        <f>IF('3b Gift array'!$F$31 = "No",'3b Gift array'!B15,'3b Gift array'!B28)</f>
        <v>0</v>
      </c>
      <c r="D116" s="56" t="str">
        <f>IF('3b Gift array'!$F$31 = "No",'3b Gift array'!C15,'3b Gift array'!C28)</f>
        <v/>
      </c>
      <c r="E116" s="60" t="str">
        <f>IF('3b Gift array'!$F$31 = "No",'3b Gift array'!E15,'3b Gift array'!E28)</f>
        <v/>
      </c>
      <c r="F116" s="93">
        <f>IF('3b Gift array'!$F$31 = "No",'3b Gift array'!F15,'3b Gift array'!F28)</f>
        <v>0</v>
      </c>
    </row>
    <row r="117" spans="1:9" ht="15" thickBot="1" x14ac:dyDescent="0.25">
      <c r="C117" s="88">
        <f>IF('3b Gift array'!$F$31 = "No",'3b Gift array'!B16,'3b Gift array'!B29)</f>
        <v>0</v>
      </c>
      <c r="D117" s="49"/>
      <c r="E117" s="49"/>
      <c r="F117" s="89">
        <f>IF('3b Gift array'!$F$31 = "No",'3b Gift array'!F16,'3b Gift array'!F29)</f>
        <v>0</v>
      </c>
    </row>
    <row r="118" spans="1:9" ht="14" thickTop="1" x14ac:dyDescent="0.15"/>
    <row r="120" spans="1:9" ht="35" customHeight="1" x14ac:dyDescent="0.2">
      <c r="A120" s="408" t="s">
        <v>196</v>
      </c>
      <c r="B120" s="408"/>
      <c r="C120" s="408"/>
      <c r="D120" s="408"/>
      <c r="E120" s="408"/>
      <c r="F120" s="408"/>
      <c r="G120" s="408"/>
      <c r="H120" s="408"/>
      <c r="I120" s="408"/>
    </row>
  </sheetData>
  <sheetProtection sheet="1" selectLockedCells="1"/>
  <customSheetViews>
    <customSheetView guid="{359010A1-0405-4C05-8A51-03FA4E24F244}" scale="110" showPageBreaks="1" showGridLines="0" view="pageLayout" showRuler="0">
      <selection activeCell="A5" sqref="A5:XFD5"/>
    </customSheetView>
    <customSheetView guid="{6E4277CF-1161-4602-99B2-7466BE4F7FEC}" scale="110" showPageBreaks="1" showGridLines="0" view="pageLayout" showRuler="0">
      <selection activeCell="A5" sqref="A5:XFD5"/>
    </customSheetView>
  </customSheetViews>
  <mergeCells count="89">
    <mergeCell ref="A26:H26"/>
    <mergeCell ref="A24:I24"/>
    <mergeCell ref="B20:C20"/>
    <mergeCell ref="B39:I39"/>
    <mergeCell ref="B47:F47"/>
    <mergeCell ref="A41:I41"/>
    <mergeCell ref="B46:F46"/>
    <mergeCell ref="B44:F44"/>
    <mergeCell ref="B45:F45"/>
    <mergeCell ref="A43:F43"/>
    <mergeCell ref="B11:C11"/>
    <mergeCell ref="A14:I14"/>
    <mergeCell ref="A15:I15"/>
    <mergeCell ref="A2:I2"/>
    <mergeCell ref="A4:I4"/>
    <mergeCell ref="A5:I5"/>
    <mergeCell ref="B9:C9"/>
    <mergeCell ref="A6:I6"/>
    <mergeCell ref="A107:I107"/>
    <mergeCell ref="A120:I120"/>
    <mergeCell ref="C101:G101"/>
    <mergeCell ref="A106:I106"/>
    <mergeCell ref="A104:I104"/>
    <mergeCell ref="A105:I105"/>
    <mergeCell ref="A103:I103"/>
    <mergeCell ref="A95:D95"/>
    <mergeCell ref="B27:I27"/>
    <mergeCell ref="B29:I29"/>
    <mergeCell ref="B30:I30"/>
    <mergeCell ref="B31:I31"/>
    <mergeCell ref="B33:I33"/>
    <mergeCell ref="B32:I32"/>
    <mergeCell ref="B38:I38"/>
    <mergeCell ref="B48:F48"/>
    <mergeCell ref="B50:F50"/>
    <mergeCell ref="C58:E58"/>
    <mergeCell ref="C76:E76"/>
    <mergeCell ref="C80:E80"/>
    <mergeCell ref="C77:E77"/>
    <mergeCell ref="C81:E81"/>
    <mergeCell ref="C82:E82"/>
    <mergeCell ref="K1:Q1"/>
    <mergeCell ref="K2:Q4"/>
    <mergeCell ref="A37:F37"/>
    <mergeCell ref="A53:I53"/>
    <mergeCell ref="B49:F49"/>
    <mergeCell ref="A40:I40"/>
    <mergeCell ref="A35:I35"/>
    <mergeCell ref="A22:I22"/>
    <mergeCell ref="A23:I23"/>
    <mergeCell ref="B28:I28"/>
    <mergeCell ref="B36:I36"/>
    <mergeCell ref="A16:I16"/>
    <mergeCell ref="A17:I17"/>
    <mergeCell ref="A34:I34"/>
    <mergeCell ref="B1:I1"/>
    <mergeCell ref="B10:C10"/>
    <mergeCell ref="C59:E59"/>
    <mergeCell ref="C62:E62"/>
    <mergeCell ref="C63:E63"/>
    <mergeCell ref="C60:E60"/>
    <mergeCell ref="C61:E61"/>
    <mergeCell ref="C64:E64"/>
    <mergeCell ref="C65:E65"/>
    <mergeCell ref="C66:E66"/>
    <mergeCell ref="C67:E67"/>
    <mergeCell ref="C68:E68"/>
    <mergeCell ref="C69:E69"/>
    <mergeCell ref="C70:E70"/>
    <mergeCell ref="C74:E74"/>
    <mergeCell ref="C75:E75"/>
    <mergeCell ref="C79:E79"/>
    <mergeCell ref="A79:B80"/>
    <mergeCell ref="C83:E83"/>
    <mergeCell ref="C84:E84"/>
    <mergeCell ref="C78:E78"/>
    <mergeCell ref="C85:E85"/>
    <mergeCell ref="A81:B84"/>
    <mergeCell ref="A85:B90"/>
    <mergeCell ref="C87:E87"/>
    <mergeCell ref="C88:E88"/>
    <mergeCell ref="C89:E89"/>
    <mergeCell ref="C90:E90"/>
    <mergeCell ref="C86:E86"/>
    <mergeCell ref="A58:B61"/>
    <mergeCell ref="A62:B66"/>
    <mergeCell ref="A67:B69"/>
    <mergeCell ref="A70:B70"/>
    <mergeCell ref="A74:B78"/>
  </mergeCells>
  <conditionalFormatting sqref="C101">
    <cfRule type="expression" dxfId="37" priority="6">
      <formula>$J$31&lt;0</formula>
    </cfRule>
  </conditionalFormatting>
  <conditionalFormatting sqref="I101">
    <cfRule type="expression" dxfId="28" priority="5">
      <formula>$J$31&lt;0</formula>
    </cfRule>
  </conditionalFormatting>
  <pageMargins left="0.70866141732283472" right="0.70866141732283472" top="0.74803149606299213" bottom="0.74803149606299213" header="0.31496062992125984" footer="0.31496062992125984"/>
  <pageSetup paperSize="9" scale="95" orientation="portrait" r:id="rId1"/>
  <headerFooter differentFirst="1">
    <oddHeader>&amp;CGiving in Grace: Knowing our Numbers Report</oddHeader>
    <oddFooter>&amp;LPrinted on &amp;D&amp;RPage &amp;P of &amp;N</oddFooter>
    <firstFooter xml:space="preserve">&amp;LPrinted on &amp;D&amp;RPage &amp;P </firstFooter>
  </headerFooter>
  <rowBreaks count="6" manualBreakCount="6">
    <brk id="15" max="16383" man="1"/>
    <brk id="22" max="16383" man="1"/>
    <brk id="36" max="16383" man="1"/>
    <brk id="40" max="16383" man="1"/>
    <brk id="52" max="16383" man="1"/>
    <brk id="102"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2" id="{DFDAB0B8-B7EF-437D-BD5D-28373992F435}">
            <xm:f>'1 Start here'!$C$12=""</xm:f>
            <x14:dxf>
              <font>
                <color theme="0"/>
              </font>
              <fill>
                <patternFill patternType="none">
                  <bgColor auto="1"/>
                </patternFill>
              </fill>
              <border>
                <left/>
                <right/>
                <top/>
                <bottom/>
              </border>
            </x14:dxf>
          </x14:cfRule>
          <xm:sqref>F8:F11</xm:sqref>
        </x14:conditionalFormatting>
        <x14:conditionalFormatting xmlns:xm="http://schemas.microsoft.com/office/excel/2006/main">
          <x14:cfRule type="expression" priority="8" id="{35760646-495A-4081-A284-B7A68FC9E218}">
            <xm:f>'1 Start here'!$C$12=""</xm:f>
            <x14:dxf>
              <font>
                <color theme="0"/>
              </font>
              <fill>
                <patternFill patternType="none">
                  <bgColor auto="1"/>
                </patternFill>
              </fill>
              <border>
                <left/>
                <right/>
                <top/>
                <bottom/>
                <vertical/>
                <horizontal/>
              </border>
            </x14:dxf>
          </x14:cfRule>
          <xm:sqref>F19:F20</xm:sqref>
        </x14:conditionalFormatting>
        <x14:conditionalFormatting xmlns:xm="http://schemas.microsoft.com/office/excel/2006/main">
          <x14:cfRule type="expression" priority="11" id="{C7D8FC68-3D9F-4FF5-AC40-86697C6AD8EB}">
            <xm:f>'1 Start here'!$C$13=""</xm:f>
            <x14:dxf>
              <font>
                <color theme="0"/>
              </font>
              <fill>
                <patternFill patternType="none">
                  <bgColor auto="1"/>
                </patternFill>
              </fill>
              <border>
                <left/>
                <right/>
                <top/>
                <bottom/>
                <vertical/>
                <horizontal/>
              </border>
            </x14:dxf>
          </x14:cfRule>
          <xm:sqref>G8:G11</xm:sqref>
        </x14:conditionalFormatting>
        <x14:conditionalFormatting xmlns:xm="http://schemas.microsoft.com/office/excel/2006/main">
          <x14:cfRule type="expression" priority="7" id="{95FFA8B2-0E0A-4E25-9EA5-6FF3D6232C70}">
            <xm:f>'1 Start here'!$C$13=""</xm:f>
            <x14:dxf>
              <font>
                <color theme="0"/>
              </font>
              <fill>
                <patternFill patternType="none">
                  <bgColor auto="1"/>
                </patternFill>
              </fill>
              <border>
                <left/>
                <right/>
                <top/>
                <bottom/>
                <vertical/>
                <horizontal/>
              </border>
            </x14:dxf>
          </x14:cfRule>
          <xm:sqref>G19:G20</xm:sqref>
        </x14:conditionalFormatting>
        <x14:conditionalFormatting xmlns:xm="http://schemas.microsoft.com/office/excel/2006/main">
          <x14:cfRule type="expression" priority="4" id="{0BBD459E-650E-4D36-BE26-9A49F095930D}">
            <xm:f>'3a Budget plan'!$K$40&lt;0</xm:f>
            <x14:dxf>
              <font>
                <color rgb="FFFF0000"/>
              </font>
            </x14:dxf>
          </x14:cfRule>
          <xm:sqref>G46</xm:sqref>
        </x14:conditionalFormatting>
        <x14:conditionalFormatting xmlns:xm="http://schemas.microsoft.com/office/excel/2006/main">
          <x14:cfRule type="expression" priority="3" id="{DC1D57BB-3025-46BE-8CB5-53AAB7FADDAB}">
            <xm:f>'3a Budget plan'!$K$45&lt;0</xm:f>
            <x14:dxf>
              <font>
                <color rgb="FFFF0000"/>
              </font>
            </x14:dxf>
          </x14:cfRule>
          <xm:sqref>G48</xm:sqref>
        </x14:conditionalFormatting>
        <x14:conditionalFormatting xmlns:xm="http://schemas.microsoft.com/office/excel/2006/main">
          <x14:cfRule type="expression" priority="2" id="{7B8500FC-5A5D-4225-898C-CD2B1EB849B0}">
            <xm:f>'3a Budget plan'!$K$40&lt;0</xm:f>
            <x14:dxf>
              <font>
                <color rgb="FFFF0000"/>
              </font>
            </x14:dxf>
          </x14:cfRule>
          <xm:sqref>I46</xm:sqref>
        </x14:conditionalFormatting>
        <x14:conditionalFormatting xmlns:xm="http://schemas.microsoft.com/office/excel/2006/main">
          <x14:cfRule type="expression" priority="1" id="{AE92F8CD-11D7-4C96-A07C-445604A933C1}">
            <xm:f>'3a Budget plan'!$K$45&lt;0</xm:f>
            <x14:dxf>
              <font>
                <color rgb="FFFF0000"/>
              </font>
            </x14:dxf>
          </x14:cfRule>
          <xm:sqref>I48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1065C-2A62-4FBD-8741-2C0D9523D220}">
  <sheetPr>
    <tabColor rgb="FFFFFF99"/>
    <pageSetUpPr fitToPage="1"/>
  </sheetPr>
  <dimension ref="A1:AB35"/>
  <sheetViews>
    <sheetView showGridLines="0" workbookViewId="0">
      <selection activeCell="T13" sqref="T13"/>
    </sheetView>
  </sheetViews>
  <sheetFormatPr baseColWidth="10" defaultColWidth="8.6640625" defaultRowHeight="13" x14ac:dyDescent="0.15"/>
  <cols>
    <col min="1" max="1" width="3.6640625" style="2" customWidth="1"/>
    <col min="2" max="2" width="8.5" style="2" bestFit="1" customWidth="1"/>
    <col min="3" max="3" width="7.1640625" style="2" bestFit="1" customWidth="1"/>
    <col min="4" max="4" width="7.33203125" style="2" customWidth="1"/>
    <col min="5" max="5" width="8.33203125" style="2" customWidth="1"/>
    <col min="6" max="6" width="3.6640625" style="2" customWidth="1"/>
    <col min="7" max="7" width="10.1640625" style="2" bestFit="1" customWidth="1"/>
    <col min="8" max="8" width="9.1640625" style="2" bestFit="1" customWidth="1"/>
    <col min="9" max="9" width="7.83203125" style="2" customWidth="1"/>
    <col min="10" max="10" width="8.83203125" style="2" customWidth="1"/>
    <col min="11" max="11" width="11" style="2" bestFit="1" customWidth="1"/>
    <col min="12" max="12" width="5.1640625" style="2" customWidth="1"/>
    <col min="13" max="13" width="3.6640625" style="2" customWidth="1"/>
    <col min="14" max="14" width="6.83203125" style="2" customWidth="1"/>
    <col min="15" max="17" width="8.6640625" style="2"/>
    <col min="18" max="18" width="3.6640625" style="2" customWidth="1"/>
    <col min="19" max="19" width="4.1640625" style="2" customWidth="1"/>
    <col min="20" max="20" width="7.1640625" style="2" customWidth="1"/>
    <col min="21" max="22" width="8.33203125" style="2" customWidth="1"/>
    <col min="23" max="23" width="2.5" style="2" customWidth="1"/>
    <col min="24" max="24" width="3.6640625" style="2" customWidth="1"/>
    <col min="25" max="26" width="8.6640625" style="2"/>
    <col min="27" max="27" width="5.1640625" style="2" customWidth="1"/>
    <col min="28" max="16384" width="8.6640625" style="2"/>
  </cols>
  <sheetData>
    <row r="1" spans="1:28" ht="23.5" customHeight="1" x14ac:dyDescent="0.15"/>
    <row r="2" spans="1:28" s="68" customFormat="1" ht="24" customHeight="1" x14ac:dyDescent="0.3">
      <c r="A2" s="5"/>
      <c r="B2" s="67" t="s">
        <v>197</v>
      </c>
    </row>
    <row r="3" spans="1:28" s="68" customFormat="1" ht="18" customHeight="1" x14ac:dyDescent="0.3">
      <c r="A3" s="66"/>
      <c r="B3" s="67"/>
    </row>
    <row r="4" spans="1:28" s="71" customFormat="1" ht="19.25" customHeight="1" thickBot="1" x14ac:dyDescent="0.3">
      <c r="B4" s="424" t="s">
        <v>198</v>
      </c>
      <c r="C4" s="424"/>
      <c r="D4" s="424"/>
      <c r="E4" s="424"/>
      <c r="F4" s="68"/>
      <c r="G4" s="424" t="s">
        <v>199</v>
      </c>
      <c r="H4" s="424"/>
      <c r="I4" s="424"/>
      <c r="J4" s="424"/>
      <c r="K4" s="424"/>
      <c r="L4" s="424"/>
      <c r="M4" s="68"/>
      <c r="N4" s="423" t="s">
        <v>200</v>
      </c>
      <c r="O4" s="423"/>
      <c r="P4" s="423"/>
      <c r="Q4" s="423"/>
      <c r="R4" s="68"/>
      <c r="S4" s="424" t="s">
        <v>201</v>
      </c>
      <c r="T4" s="424"/>
      <c r="U4" s="424"/>
      <c r="V4" s="424"/>
      <c r="W4" s="424"/>
      <c r="X4" s="68"/>
      <c r="Y4" s="423" t="s">
        <v>202</v>
      </c>
      <c r="Z4" s="423"/>
      <c r="AA4" s="423"/>
      <c r="AB4" s="423"/>
    </row>
    <row r="5" spans="1:28" s="71" customFormat="1" ht="32.5" customHeight="1" thickTop="1" x14ac:dyDescent="0.2">
      <c r="B5" s="426" t="s">
        <v>230</v>
      </c>
      <c r="C5" s="426"/>
      <c r="D5" s="426"/>
      <c r="E5" s="426"/>
      <c r="F5" s="222"/>
      <c r="G5" s="425" t="s">
        <v>203</v>
      </c>
      <c r="H5" s="425"/>
      <c r="I5" s="425"/>
      <c r="J5" s="425"/>
      <c r="K5" s="425"/>
      <c r="L5" s="425"/>
      <c r="M5" s="222"/>
      <c r="N5" s="426" t="s">
        <v>204</v>
      </c>
      <c r="O5" s="426"/>
      <c r="P5" s="426"/>
      <c r="Q5" s="426"/>
      <c r="R5" s="222"/>
      <c r="S5" s="426" t="s">
        <v>205</v>
      </c>
      <c r="T5" s="426"/>
      <c r="U5" s="426"/>
      <c r="V5" s="426"/>
      <c r="W5" s="426"/>
      <c r="X5" s="222"/>
      <c r="Y5" s="426" t="s">
        <v>206</v>
      </c>
      <c r="Z5" s="426"/>
      <c r="AA5" s="426"/>
      <c r="AB5" s="426"/>
    </row>
    <row r="6" spans="1:28" ht="30" customHeight="1" x14ac:dyDescent="0.2">
      <c r="B6" s="425"/>
      <c r="C6" s="425"/>
      <c r="D6" s="425"/>
      <c r="E6" s="425"/>
      <c r="F6" s="48"/>
      <c r="G6" s="405" t="s">
        <v>207</v>
      </c>
      <c r="H6" s="405"/>
      <c r="I6" s="405"/>
      <c r="J6" s="405"/>
      <c r="K6" s="405"/>
      <c r="L6" s="405"/>
      <c r="M6" s="48"/>
      <c r="N6" s="425"/>
      <c r="O6" s="425"/>
      <c r="P6" s="425"/>
      <c r="Q6" s="425"/>
      <c r="R6" s="222"/>
      <c r="S6" s="425"/>
      <c r="T6" s="425"/>
      <c r="U6" s="425"/>
      <c r="V6" s="425"/>
      <c r="W6" s="425"/>
      <c r="X6" s="222"/>
      <c r="Y6" s="425"/>
      <c r="Z6" s="425"/>
      <c r="AA6" s="425"/>
      <c r="AB6" s="425"/>
    </row>
    <row r="7" spans="1:28" ht="14" x14ac:dyDescent="0.15">
      <c r="A7" s="69"/>
      <c r="B7" s="334" t="s">
        <v>218</v>
      </c>
      <c r="C7" s="71"/>
      <c r="D7" s="71"/>
      <c r="E7" s="71"/>
      <c r="F7"/>
      <c r="G7" s="405" t="s">
        <v>208</v>
      </c>
      <c r="H7" s="405"/>
      <c r="I7" s="405"/>
      <c r="J7" s="405"/>
      <c r="K7" s="405"/>
      <c r="L7" s="405"/>
      <c r="M7"/>
      <c r="N7" s="414" t="s">
        <v>209</v>
      </c>
      <c r="O7" s="414"/>
      <c r="P7" s="414"/>
      <c r="Q7" s="414"/>
      <c r="R7"/>
      <c r="S7" s="425"/>
      <c r="T7" s="425"/>
      <c r="U7" s="425"/>
      <c r="V7" s="425"/>
      <c r="W7" s="425"/>
      <c r="X7"/>
      <c r="Y7" s="414" t="s">
        <v>210</v>
      </c>
      <c r="Z7" s="414"/>
      <c r="AA7" s="414"/>
      <c r="AB7" s="414"/>
    </row>
    <row r="8" spans="1:28" customFormat="1" ht="14.5" customHeight="1" thickBot="1" x14ac:dyDescent="0.25">
      <c r="B8" s="331" t="s">
        <v>220</v>
      </c>
      <c r="C8" s="336" t="str">
        <f>Calculations!H2</f>
        <v>Gift Aid</v>
      </c>
      <c r="D8" s="336" t="str">
        <f>Calculations!L2</f>
        <v>No Gift Aid</v>
      </c>
      <c r="E8" s="336" t="s">
        <v>221</v>
      </c>
      <c r="G8" s="405"/>
      <c r="H8" s="405"/>
      <c r="I8" s="405"/>
      <c r="J8" s="405"/>
      <c r="K8" s="405"/>
      <c r="L8" s="405"/>
      <c r="N8" s="414"/>
      <c r="O8" s="414"/>
      <c r="P8" s="414"/>
      <c r="Q8" s="414"/>
      <c r="S8" s="46"/>
      <c r="T8" s="234" t="s">
        <v>211</v>
      </c>
      <c r="U8" s="235" t="s">
        <v>212</v>
      </c>
      <c r="V8" s="235" t="s">
        <v>213</v>
      </c>
      <c r="Y8" s="414"/>
      <c r="Z8" s="414"/>
      <c r="AA8" s="414"/>
      <c r="AB8" s="414"/>
    </row>
    <row r="9" spans="1:28" s="70" customFormat="1" ht="15" thickBot="1" x14ac:dyDescent="0.25">
      <c r="B9" s="329" t="str">
        <f>Calculations!Q2</f>
        <v>PGS</v>
      </c>
      <c r="C9" s="330" t="e">
        <f>Calculations!R33/Calculations!Q33/52</f>
        <v>#DIV/0!</v>
      </c>
      <c r="D9" s="330" t="e">
        <f>Calculations!R42/Calculations!Q42/52</f>
        <v>#DIV/0!</v>
      </c>
      <c r="E9" s="330" t="e" vm="2">
        <f>Calculations!R15</f>
        <v>#VALUE!</v>
      </c>
      <c r="F9"/>
      <c r="G9" s="405"/>
      <c r="H9" s="405"/>
      <c r="I9" s="405"/>
      <c r="J9" s="405"/>
      <c r="K9" s="405"/>
      <c r="L9" s="405"/>
      <c r="M9"/>
      <c r="N9" s="414"/>
      <c r="O9" s="414"/>
      <c r="P9" s="414"/>
      <c r="Q9" s="414"/>
      <c r="R9"/>
      <c r="S9" s="236">
        <v>1</v>
      </c>
      <c r="T9" s="237">
        <v>2.5</v>
      </c>
      <c r="U9" s="238">
        <v>0</v>
      </c>
      <c r="V9" s="239">
        <f>T9-0.01</f>
        <v>2.4900000000000002</v>
      </c>
      <c r="W9"/>
      <c r="X9"/>
    </row>
    <row r="10" spans="1:28" ht="15" thickBot="1" x14ac:dyDescent="0.25">
      <c r="B10" s="329" t="str">
        <f>Calculations!U2</f>
        <v>SO</v>
      </c>
      <c r="C10" s="330" t="e">
        <f>Calculations!V33/Calculations!U33/52</f>
        <v>#DIV/0!</v>
      </c>
      <c r="D10" s="330" t="e">
        <f>Calculations!V42/Calculations!U42/52</f>
        <v>#DIV/0!</v>
      </c>
      <c r="E10" s="330" t="e" vm="2">
        <f>Calculations!V15</f>
        <v>#VALUE!</v>
      </c>
      <c r="F10"/>
      <c r="G10" s="405"/>
      <c r="H10" s="405"/>
      <c r="I10" s="405"/>
      <c r="J10" s="405"/>
      <c r="K10" s="405"/>
      <c r="L10" s="405"/>
      <c r="M10"/>
      <c r="N10" s="414" t="s">
        <v>214</v>
      </c>
      <c r="O10" s="414"/>
      <c r="P10" s="414"/>
      <c r="Q10" s="414"/>
      <c r="R10"/>
      <c r="S10" s="236">
        <v>2</v>
      </c>
      <c r="T10" s="237">
        <v>2.5</v>
      </c>
      <c r="U10" s="238">
        <f t="shared" ref="U10:U18" si="0">U9+T9</f>
        <v>2.5</v>
      </c>
      <c r="V10" s="239">
        <f t="shared" ref="V10:V17" si="1">V9+T10</f>
        <v>4.99</v>
      </c>
      <c r="W10"/>
      <c r="X10"/>
    </row>
    <row r="11" spans="1:28" ht="14.5" customHeight="1" thickBot="1" x14ac:dyDescent="0.25">
      <c r="B11" s="329" t="str">
        <f>Calculations!Y2</f>
        <v>Envelope</v>
      </c>
      <c r="C11" s="330" t="e">
        <f>Calculations!Z33/Calculations!Y33/52</f>
        <v>#DIV/0!</v>
      </c>
      <c r="D11" s="330" t="e">
        <f>Calculations!Z42/Calculations!Y42/52</f>
        <v>#DIV/0!</v>
      </c>
      <c r="E11" s="330" t="e" vm="2">
        <f>Calculations!Z15</f>
        <v>#VALUE!</v>
      </c>
      <c r="F11"/>
      <c r="H11" s="103" t="s">
        <v>160</v>
      </c>
      <c r="I11" s="104" t="s">
        <v>215</v>
      </c>
      <c r="M11"/>
      <c r="N11" s="414"/>
      <c r="O11" s="414"/>
      <c r="P11" s="414"/>
      <c r="Q11" s="414"/>
      <c r="R11"/>
      <c r="S11" s="236">
        <v>3</v>
      </c>
      <c r="T11" s="237">
        <v>2.5</v>
      </c>
      <c r="U11" s="238">
        <f t="shared" si="0"/>
        <v>5</v>
      </c>
      <c r="V11" s="239">
        <f t="shared" si="1"/>
        <v>7.49</v>
      </c>
      <c r="W11"/>
      <c r="X11"/>
    </row>
    <row r="12" spans="1:28" ht="16" thickBot="1" x14ac:dyDescent="0.25">
      <c r="B12" s="332" t="s">
        <v>221</v>
      </c>
      <c r="C12" s="333" t="e" vm="2">
        <f>Calculations!I15</f>
        <v>#VALUE!</v>
      </c>
      <c r="D12" s="333" t="e" vm="2">
        <f>Calculations!M15</f>
        <v>#VALUE!</v>
      </c>
      <c r="E12" s="333" t="e">
        <f>Calculations!E15</f>
        <v>#DIV/0!</v>
      </c>
      <c r="F12"/>
      <c r="H12" s="103" t="s">
        <v>161</v>
      </c>
      <c r="I12" s="104" t="s">
        <v>216</v>
      </c>
      <c r="M12"/>
      <c r="N12" s="70"/>
      <c r="O12" s="70"/>
      <c r="P12" s="70"/>
      <c r="Q12" s="70"/>
      <c r="R12"/>
      <c r="S12" s="236">
        <v>4</v>
      </c>
      <c r="T12" s="237">
        <v>2.5</v>
      </c>
      <c r="U12" s="238">
        <f t="shared" si="0"/>
        <v>7.5</v>
      </c>
      <c r="V12" s="239">
        <f t="shared" si="1"/>
        <v>9.99</v>
      </c>
      <c r="W12"/>
      <c r="X12"/>
    </row>
    <row r="13" spans="1:28" ht="16" thickBot="1" x14ac:dyDescent="0.25">
      <c r="B13"/>
      <c r="C13"/>
      <c r="D13"/>
      <c r="H13" s="103" t="s">
        <v>162</v>
      </c>
      <c r="I13" s="104" t="s">
        <v>217</v>
      </c>
      <c r="L13"/>
      <c r="S13" s="236">
        <v>5</v>
      </c>
      <c r="T13" s="237">
        <v>5</v>
      </c>
      <c r="U13" s="238">
        <f>U12+T12</f>
        <v>10</v>
      </c>
      <c r="V13" s="239">
        <f>V12+T13</f>
        <v>14.99</v>
      </c>
      <c r="W13"/>
    </row>
    <row r="14" spans="1:28" s="71" customFormat="1" ht="16" thickBot="1" x14ac:dyDescent="0.25">
      <c r="H14" s="103" t="s">
        <v>163</v>
      </c>
      <c r="I14" s="104" t="s">
        <v>219</v>
      </c>
      <c r="J14" s="2"/>
      <c r="K14" s="2"/>
      <c r="L14" s="70"/>
      <c r="N14" s="2"/>
      <c r="O14" s="2"/>
      <c r="P14" s="2"/>
      <c r="Q14" s="2"/>
      <c r="S14" s="236">
        <v>6</v>
      </c>
      <c r="T14" s="237">
        <v>5</v>
      </c>
      <c r="U14" s="238">
        <f t="shared" si="0"/>
        <v>15</v>
      </c>
      <c r="V14" s="239">
        <f t="shared" si="1"/>
        <v>19.990000000000002</v>
      </c>
      <c r="W14"/>
    </row>
    <row r="15" spans="1:28" s="71" customFormat="1" ht="15" thickBot="1" x14ac:dyDescent="0.25">
      <c r="G15" s="427" t="s">
        <v>222</v>
      </c>
      <c r="H15" s="427"/>
      <c r="I15" s="427"/>
      <c r="J15" s="427"/>
      <c r="K15" s="427"/>
      <c r="L15" s="427"/>
      <c r="N15" s="2"/>
      <c r="O15" s="2"/>
      <c r="P15" s="2"/>
      <c r="Q15" s="2"/>
      <c r="S15" s="236">
        <v>7</v>
      </c>
      <c r="T15" s="237">
        <v>7.5</v>
      </c>
      <c r="U15" s="238">
        <f t="shared" si="0"/>
        <v>20</v>
      </c>
      <c r="V15" s="239">
        <f t="shared" si="1"/>
        <v>27.490000000000002</v>
      </c>
      <c r="W15"/>
    </row>
    <row r="16" spans="1:28" customFormat="1" ht="15" thickBot="1" x14ac:dyDescent="0.25">
      <c r="B16" s="2"/>
      <c r="C16" s="2"/>
      <c r="D16" s="2"/>
      <c r="E16" s="2"/>
      <c r="F16" s="2"/>
      <c r="G16" s="2"/>
      <c r="H16" s="2"/>
      <c r="I16" s="2"/>
      <c r="J16" s="2"/>
      <c r="K16" s="2"/>
      <c r="L16" s="2"/>
      <c r="M16" s="2"/>
      <c r="N16" s="2"/>
      <c r="O16" s="2"/>
      <c r="P16" s="2"/>
      <c r="Q16" s="2"/>
      <c r="R16" s="2"/>
      <c r="S16" s="236">
        <v>8</v>
      </c>
      <c r="T16" s="237">
        <v>7.5</v>
      </c>
      <c r="U16" s="238">
        <f t="shared" si="0"/>
        <v>27.5</v>
      </c>
      <c r="V16" s="239">
        <f t="shared" si="1"/>
        <v>34.99</v>
      </c>
      <c r="X16" s="2"/>
    </row>
    <row r="17" spans="2:24" customFormat="1" ht="15" thickBot="1" x14ac:dyDescent="0.25">
      <c r="B17" s="2"/>
      <c r="C17" s="2"/>
      <c r="D17" s="2"/>
      <c r="E17" s="2"/>
      <c r="F17" s="2"/>
      <c r="H17" s="2"/>
      <c r="I17" s="2"/>
      <c r="J17" s="2"/>
      <c r="K17" s="2"/>
      <c r="L17" s="2"/>
      <c r="M17" s="2"/>
      <c r="N17" s="71"/>
      <c r="O17" s="71"/>
      <c r="P17" s="71"/>
      <c r="Q17" s="71"/>
      <c r="R17" s="2"/>
      <c r="S17" s="236">
        <v>9</v>
      </c>
      <c r="T17" s="237">
        <v>10</v>
      </c>
      <c r="U17" s="238">
        <f t="shared" si="0"/>
        <v>35</v>
      </c>
      <c r="V17" s="239">
        <f t="shared" si="1"/>
        <v>44.99</v>
      </c>
      <c r="X17" s="2"/>
    </row>
    <row r="18" spans="2:24" customFormat="1" ht="14" x14ac:dyDescent="0.2">
      <c r="B18" s="2"/>
      <c r="C18" s="2"/>
      <c r="D18" s="2"/>
      <c r="E18" s="2"/>
      <c r="F18" s="2"/>
      <c r="H18" s="2"/>
      <c r="I18" s="2"/>
      <c r="J18" s="2"/>
      <c r="K18" s="2"/>
      <c r="L18" s="2"/>
      <c r="M18" s="2"/>
      <c r="N18" s="71"/>
      <c r="O18" s="71"/>
      <c r="P18" s="71"/>
      <c r="Q18" s="71"/>
      <c r="R18" s="2"/>
      <c r="S18" s="240">
        <v>10</v>
      </c>
      <c r="T18" s="241"/>
      <c r="U18" s="239">
        <f t="shared" si="0"/>
        <v>45</v>
      </c>
      <c r="V18" s="239" t="str">
        <f>CONCATENATE("£",TEXT(U18,"#0.00"),"+")</f>
        <v>£45.00+</v>
      </c>
      <c r="X18" s="2"/>
    </row>
    <row r="19" spans="2:24" customFormat="1" x14ac:dyDescent="0.15">
      <c r="B19" s="2"/>
      <c r="C19" s="2"/>
      <c r="D19" s="2"/>
      <c r="E19" s="2"/>
      <c r="F19" s="2"/>
      <c r="H19" s="2"/>
      <c r="I19" s="2"/>
      <c r="J19" s="2"/>
      <c r="K19" s="2"/>
      <c r="L19" s="2"/>
      <c r="M19" s="2"/>
      <c r="R19" s="2"/>
      <c r="X19" s="2"/>
    </row>
    <row r="20" spans="2:24" customFormat="1" ht="15" x14ac:dyDescent="0.15">
      <c r="B20" s="2"/>
      <c r="C20" s="2"/>
      <c r="D20" s="2"/>
      <c r="E20" s="2"/>
      <c r="F20" s="2"/>
      <c r="I20" s="242"/>
      <c r="J20" s="242"/>
      <c r="K20" s="71"/>
      <c r="L20" s="71"/>
      <c r="M20" s="2"/>
      <c r="R20" s="2"/>
      <c r="X20" s="2"/>
    </row>
    <row r="21" spans="2:24" customFormat="1" ht="15" x14ac:dyDescent="0.15">
      <c r="B21" s="2"/>
      <c r="C21" s="2"/>
      <c r="D21" s="2"/>
      <c r="E21" s="2"/>
      <c r="F21" s="2"/>
      <c r="G21" s="242"/>
      <c r="H21" s="242"/>
      <c r="I21" s="242"/>
      <c r="J21" s="242"/>
      <c r="K21" s="71"/>
      <c r="L21" s="71"/>
      <c r="M21" s="2"/>
      <c r="R21" s="2"/>
      <c r="X21" s="2"/>
    </row>
    <row r="22" spans="2:24" customFormat="1" ht="14" x14ac:dyDescent="0.2">
      <c r="B22" s="2"/>
      <c r="C22" s="2"/>
      <c r="D22" s="2"/>
      <c r="E22" s="2"/>
      <c r="F22" s="2"/>
      <c r="G22" s="328" t="s">
        <v>158</v>
      </c>
      <c r="M22" s="2"/>
      <c r="R22" s="2"/>
      <c r="X22" s="2"/>
    </row>
    <row r="23" spans="2:24" customFormat="1" ht="14" x14ac:dyDescent="0.2">
      <c r="B23" s="2"/>
      <c r="C23" s="2"/>
      <c r="D23" s="2"/>
      <c r="E23" s="2"/>
      <c r="F23" s="2"/>
      <c r="G23" s="329" t="s">
        <v>221</v>
      </c>
      <c r="M23" s="2"/>
      <c r="R23" s="2"/>
      <c r="X23" s="2"/>
    </row>
    <row r="24" spans="2:24" customFormat="1" x14ac:dyDescent="0.15">
      <c r="B24" s="2"/>
      <c r="C24" s="2"/>
      <c r="D24" s="2"/>
      <c r="E24" s="2"/>
      <c r="F24" s="2"/>
      <c r="M24" s="2"/>
      <c r="R24" s="2"/>
      <c r="X24" s="2"/>
    </row>
    <row r="25" spans="2:24" customFormat="1" x14ac:dyDescent="0.15">
      <c r="B25" s="2"/>
      <c r="C25" s="2"/>
      <c r="D25" s="2"/>
      <c r="E25" s="2"/>
      <c r="F25" s="2"/>
      <c r="M25" s="2"/>
      <c r="R25" s="2"/>
      <c r="X25" s="2"/>
    </row>
    <row r="26" spans="2:24" customFormat="1" x14ac:dyDescent="0.15">
      <c r="B26" s="2"/>
      <c r="C26" s="2"/>
      <c r="D26" s="2"/>
      <c r="E26" s="2"/>
      <c r="F26" s="2"/>
      <c r="M26" s="2"/>
      <c r="R26" s="2"/>
      <c r="X26" s="2"/>
    </row>
    <row r="27" spans="2:24" customFormat="1" x14ac:dyDescent="0.15"/>
    <row r="28" spans="2:24" customFormat="1" x14ac:dyDescent="0.15">
      <c r="B28" s="2"/>
      <c r="C28" s="2"/>
      <c r="D28" s="2"/>
      <c r="E28" s="2"/>
      <c r="F28" s="2"/>
      <c r="M28" s="2"/>
      <c r="R28" s="2"/>
      <c r="X28" s="2"/>
    </row>
    <row r="30" spans="2:24" x14ac:dyDescent="0.15">
      <c r="G30" s="334" t="s">
        <v>218</v>
      </c>
    </row>
    <row r="31" spans="2:24" ht="14" x14ac:dyDescent="0.2">
      <c r="G31" s="335" t="s">
        <v>89</v>
      </c>
      <c r="H31" s="336" t="str">
        <f>Calculations!H2</f>
        <v>Gift Aid</v>
      </c>
      <c r="I31" s="336" t="str">
        <f>Calculations!L2</f>
        <v>No Gift Aid</v>
      </c>
      <c r="J31" s="336" t="s">
        <v>221</v>
      </c>
    </row>
    <row r="32" spans="2:24" x14ac:dyDescent="0.15">
      <c r="G32" s="2" t="str">
        <f>Calculations!J20</f>
        <v>A</v>
      </c>
      <c r="H32" s="74" t="e">
        <f>Calculations!M29/Calculations!L29/52</f>
        <v>#DIV/0!</v>
      </c>
      <c r="I32" s="74" t="e">
        <f>Calculations!M38/Calculations!L38/52</f>
        <v>#DIV/0!</v>
      </c>
      <c r="J32" s="74" t="e">
        <f>Calculations!M20/Calculations!L20/52</f>
        <v>#DIV/0!</v>
      </c>
    </row>
    <row r="33" spans="7:10" x14ac:dyDescent="0.15">
      <c r="G33" s="2" t="str">
        <f>Calculations!J21</f>
        <v>B</v>
      </c>
      <c r="H33" s="74" t="e">
        <f>Calculations!M30/Calculations!L30/52</f>
        <v>#DIV/0!</v>
      </c>
      <c r="I33" s="74" t="e">
        <f>Calculations!M39/Calculations!L39/52</f>
        <v>#DIV/0!</v>
      </c>
      <c r="J33" s="74" t="e">
        <f>Calculations!M21/Calculations!L21/52</f>
        <v>#DIV/0!</v>
      </c>
    </row>
    <row r="34" spans="7:10" x14ac:dyDescent="0.15">
      <c r="G34" s="2" t="str">
        <f>Calculations!J22</f>
        <v>C</v>
      </c>
      <c r="H34" s="74" t="e">
        <f>Calculations!M31/Calculations!L31/52</f>
        <v>#DIV/0!</v>
      </c>
      <c r="I34" s="74" t="e">
        <f>Calculations!M40/Calculations!L40/52</f>
        <v>#DIV/0!</v>
      </c>
      <c r="J34" s="74" t="e">
        <f>Calculations!M22/Calculations!L22/52</f>
        <v>#DIV/0!</v>
      </c>
    </row>
    <row r="35" spans="7:10" x14ac:dyDescent="0.15">
      <c r="G35" s="2" t="str">
        <f>Calculations!J23</f>
        <v>D</v>
      </c>
      <c r="H35" s="74" t="e">
        <f>Calculations!M32/Calculations!L32/52</f>
        <v>#DIV/0!</v>
      </c>
      <c r="I35" s="74" t="e">
        <f>Calculations!M41/Calculations!L41/52</f>
        <v>#DIV/0!</v>
      </c>
      <c r="J35" s="74" t="e">
        <f>Calculations!M23/Calculations!L23/52</f>
        <v>#DIV/0!</v>
      </c>
    </row>
  </sheetData>
  <sheetProtection selectLockedCells="1" pivotTables="0"/>
  <protectedRanges>
    <protectedRange sqref="T9:T17" name="Range1"/>
  </protectedRanges>
  <customSheetViews>
    <customSheetView guid="{359010A1-0405-4C05-8A51-03FA4E24F244}" showGridLines="0" showRowCol="0">
      <selection activeCell="L12" sqref="L12"/>
    </customSheetView>
    <customSheetView guid="{6E4277CF-1161-4602-99B2-7466BE4F7FEC}" showGridLines="0" showRowCol="0">
      <selection activeCell="L12" sqref="L12"/>
    </customSheetView>
  </customSheetViews>
  <mergeCells count="16">
    <mergeCell ref="G15:L15"/>
    <mergeCell ref="N10:Q11"/>
    <mergeCell ref="Y5:AB6"/>
    <mergeCell ref="Y7:AB8"/>
    <mergeCell ref="N5:Q6"/>
    <mergeCell ref="N7:Q9"/>
    <mergeCell ref="G7:L10"/>
    <mergeCell ref="N4:Q4"/>
    <mergeCell ref="B4:E4"/>
    <mergeCell ref="G6:L6"/>
    <mergeCell ref="Y4:AB4"/>
    <mergeCell ref="G4:L4"/>
    <mergeCell ref="G5:L5"/>
    <mergeCell ref="S4:W4"/>
    <mergeCell ref="S5:W7"/>
    <mergeCell ref="B5:E6"/>
  </mergeCells>
  <printOptions horizontalCentered="1"/>
  <pageMargins left="0.23622047244094491" right="0.23622047244094491" top="0.74803149606299213" bottom="0.74803149606299213" header="0.31496062992125984" footer="0.31496062992125984"/>
  <pageSetup paperSize="9" scale="83" orientation="portrait" r:id="rId2"/>
  <headerFooter>
    <oddFooter>&amp;L&amp;"Verdana,Regular"&amp;K005695© Giving in Grace 2015&amp;C&amp;"Verdana,Regular"&amp;K7F3F98 www.givingingrace.org&amp;R6</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3B55AB5CF4BF4FBE099DB3538D9FB7" ma:contentTypeVersion="18" ma:contentTypeDescription="Create a new document." ma:contentTypeScope="" ma:versionID="0bfae7c99d9ace9759068faa3ed616ab">
  <xsd:schema xmlns:xsd="http://www.w3.org/2001/XMLSchema" xmlns:xs="http://www.w3.org/2001/XMLSchema" xmlns:p="http://schemas.microsoft.com/office/2006/metadata/properties" xmlns:ns2="89ec9d6b-749f-4275-8867-6e7232cee970" xmlns:ns3="9a113436-36c4-4bb8-bf3f-c2e5cea57c75" targetNamespace="http://schemas.microsoft.com/office/2006/metadata/properties" ma:root="true" ma:fieldsID="ffbd19efdcfab7d3dd2d31d6beffb9ea" ns2:_="" ns3:_="">
    <xsd:import namespace="89ec9d6b-749f-4275-8867-6e7232cee970"/>
    <xsd:import namespace="9a113436-36c4-4bb8-bf3f-c2e5cea57c7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c9d6b-749f-4275-8867-6e7232cee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736448d-03a9-4c3f-871d-f800b550f3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113436-36c4-4bb8-bf3f-c2e5cea57c7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5d6170-1321-435b-a978-3b5d0ee055ba}" ma:internalName="TaxCatchAll" ma:showField="CatchAllData" ma:web="9a113436-36c4-4bb8-bf3f-c2e5cea57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ec9d6b-749f-4275-8867-6e7232cee970">
      <Terms xmlns="http://schemas.microsoft.com/office/infopath/2007/PartnerControls"/>
    </lcf76f155ced4ddcb4097134ff3c332f>
    <TaxCatchAll xmlns="9a113436-36c4-4bb8-bf3f-c2e5cea57c75" xsi:nil="true"/>
  </documentManagement>
</p:properties>
</file>

<file path=customXml/itemProps1.xml><?xml version="1.0" encoding="utf-8"?>
<ds:datastoreItem xmlns:ds="http://schemas.openxmlformats.org/officeDocument/2006/customXml" ds:itemID="{D8E13B18-E71D-4C6C-BAA1-4FB78B57CF82}">
  <ds:schemaRefs>
    <ds:schemaRef ds:uri="http://schemas.microsoft.com/sharepoint/v3/contenttype/forms"/>
  </ds:schemaRefs>
</ds:datastoreItem>
</file>

<file path=customXml/itemProps2.xml><?xml version="1.0" encoding="utf-8"?>
<ds:datastoreItem xmlns:ds="http://schemas.openxmlformats.org/officeDocument/2006/customXml" ds:itemID="{9532DF3E-9760-4CAC-958B-08EC9675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ec9d6b-749f-4275-8867-6e7232cee970"/>
    <ds:schemaRef ds:uri="9a113436-36c4-4bb8-bf3f-c2e5cea57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C508ED-FC9C-4872-98B3-EF1ADF61571C}">
  <ds:schemaRefs>
    <ds:schemaRef ds:uri="http://schemas.microsoft.com/office/infopath/2007/PartnerControls"/>
    <ds:schemaRef ds:uri="http://purl.org/dc/elements/1.1/"/>
    <ds:schemaRef ds:uri="9a113436-36c4-4bb8-bf3f-c2e5cea57c75"/>
    <ds:schemaRef ds:uri="89ec9d6b-749f-4275-8867-6e7232cee970"/>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Menu</vt:lpstr>
      <vt:lpstr>1 Start here</vt:lpstr>
      <vt:lpstr>2a Finance history</vt:lpstr>
      <vt:lpstr>2b Giving history</vt:lpstr>
      <vt:lpstr>3a Budget plan</vt:lpstr>
      <vt:lpstr>3b Gift array</vt:lpstr>
      <vt:lpstr>Calculations</vt:lpstr>
      <vt:lpstr>4 Print report</vt:lpstr>
      <vt:lpstr>5 Digging deeper</vt:lpstr>
      <vt:lpstr>5a Report with age bands</vt:lpstr>
      <vt:lpstr>5b Report with restricted funds</vt:lpstr>
      <vt:lpstr>AgeBand</vt:lpstr>
      <vt:lpstr>GiftAid</vt:lpstr>
      <vt:lpstr>GiveValue</vt:lpstr>
      <vt:lpstr>Method</vt:lpstr>
      <vt:lpstr>'2b Giving history'!Print_Area</vt:lpstr>
      <vt:lpstr>'3a Budget plan'!Print_Area</vt:lpstr>
      <vt:lpstr>'4 Print report'!Print_Area</vt:lpstr>
      <vt:lpstr>'5a Report with age bands'!Print_Area</vt:lpstr>
      <vt:lpstr>'5b Report with restricted funds'!Print_Area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Fath</dc:creator>
  <cp:keywords/>
  <dc:description/>
  <cp:lastModifiedBy>G L</cp:lastModifiedBy>
  <cp:revision/>
  <dcterms:created xsi:type="dcterms:W3CDTF">2024-08-28T13:33:27Z</dcterms:created>
  <dcterms:modified xsi:type="dcterms:W3CDTF">2026-03-09T16:23:01Z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0x010100753B55AB5CF4BF4FBE099DB3538D9FB7</vt:lpwstr>
  </property>
  <property fmtid="{D5CDD505-2E9C-101B-9397-08002B2CF9AE}" pid="3" name="MediaServiceImageTags">
    <vt:lpwstr/>
  </property>
</Properties>
</file>